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C:\Users\damon\Desktop\Testing\"/>
    </mc:Choice>
  </mc:AlternateContent>
  <xr:revisionPtr revIDLastSave="0" documentId="13_ncr:1_{22ED083B-78B6-4714-B8A6-3AECA6D4352E}" xr6:coauthVersionLast="45" xr6:coauthVersionMax="45" xr10:uidLastSave="{00000000-0000-0000-0000-000000000000}"/>
  <bookViews>
    <workbookView xWindow="-28920" yWindow="-120" windowWidth="29040" windowHeight="15840" xr2:uid="{00000000-000D-0000-FFFF-FFFF00000000}"/>
  </bookViews>
  <sheets>
    <sheet name="Instructions" sheetId="16" r:id="rId1"/>
    <sheet name="Inputs" sheetId="3" r:id="rId2"/>
    <sheet name="Propeller Data" sheetId="14" r:id="rId3"/>
    <sheet name="Propeller Sizing" sheetId="8" r:id="rId4"/>
    <sheet name="Power Draw vs. Thrust" sheetId="11" r:id="rId5"/>
    <sheet name="Basic Motor Performance Tool" sheetId="15" r:id="rId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3" i="15" l="1"/>
  <c r="B20" i="15"/>
  <c r="B22" i="15"/>
  <c r="B4" i="11" l="1"/>
  <c r="B23" i="11" l="1"/>
  <c r="B6" i="14"/>
  <c r="C21" i="3" l="1"/>
  <c r="C20" i="3"/>
  <c r="C19" i="3"/>
  <c r="C18" i="3"/>
  <c r="C122" i="11"/>
  <c r="C138" i="11" s="1"/>
  <c r="C154" i="11" s="1"/>
  <c r="C170" i="11" s="1"/>
  <c r="C113" i="11"/>
  <c r="C129" i="11" s="1"/>
  <c r="C145" i="11" s="1"/>
  <c r="C161" i="11" s="1"/>
  <c r="C177" i="11" s="1"/>
  <c r="C112" i="11"/>
  <c r="C128" i="11" s="1"/>
  <c r="C144" i="11" s="1"/>
  <c r="C160" i="11" s="1"/>
  <c r="C176" i="11" s="1"/>
  <c r="C106" i="11"/>
  <c r="C103" i="11"/>
  <c r="C119" i="11" s="1"/>
  <c r="C135" i="11" s="1"/>
  <c r="C151" i="11" s="1"/>
  <c r="C167" i="11" s="1"/>
  <c r="C101" i="11"/>
  <c r="C117" i="11" s="1"/>
  <c r="C133" i="11" s="1"/>
  <c r="C149" i="11" s="1"/>
  <c r="C165" i="11" s="1"/>
  <c r="C91" i="11"/>
  <c r="C107" i="11" s="1"/>
  <c r="C123" i="11" s="1"/>
  <c r="C139" i="11" s="1"/>
  <c r="C155" i="11" s="1"/>
  <c r="C171" i="11" s="1"/>
  <c r="C92" i="11"/>
  <c r="C108" i="11" s="1"/>
  <c r="C124" i="11" s="1"/>
  <c r="C140" i="11" s="1"/>
  <c r="C156" i="11" s="1"/>
  <c r="C172" i="11" s="1"/>
  <c r="C93" i="11"/>
  <c r="C109" i="11" s="1"/>
  <c r="C125" i="11" s="1"/>
  <c r="C141" i="11" s="1"/>
  <c r="C157" i="11" s="1"/>
  <c r="C173" i="11" s="1"/>
  <c r="C94" i="11"/>
  <c r="C110" i="11" s="1"/>
  <c r="C126" i="11" s="1"/>
  <c r="C142" i="11" s="1"/>
  <c r="C158" i="11" s="1"/>
  <c r="C174" i="11" s="1"/>
  <c r="C95" i="11"/>
  <c r="C111" i="11" s="1"/>
  <c r="C127" i="11" s="1"/>
  <c r="C143" i="11" s="1"/>
  <c r="C159" i="11" s="1"/>
  <c r="C175" i="11" s="1"/>
  <c r="C96" i="11"/>
  <c r="C97" i="11"/>
  <c r="C98" i="11"/>
  <c r="C114" i="11" s="1"/>
  <c r="C130" i="11" s="1"/>
  <c r="C146" i="11" s="1"/>
  <c r="C162" i="11" s="1"/>
  <c r="C178" i="11" s="1"/>
  <c r="C99" i="11"/>
  <c r="C115" i="11" s="1"/>
  <c r="C131" i="11" s="1"/>
  <c r="C147" i="11" s="1"/>
  <c r="C163" i="11" s="1"/>
  <c r="C179" i="11" s="1"/>
  <c r="C86" i="11"/>
  <c r="C102" i="11" s="1"/>
  <c r="C118" i="11" s="1"/>
  <c r="C134" i="11" s="1"/>
  <c r="C150" i="11" s="1"/>
  <c r="C166" i="11" s="1"/>
  <c r="C87" i="11"/>
  <c r="C88" i="11"/>
  <c r="C104" i="11" s="1"/>
  <c r="C120" i="11" s="1"/>
  <c r="C136" i="11" s="1"/>
  <c r="C152" i="11" s="1"/>
  <c r="C168" i="11" s="1"/>
  <c r="C89" i="11"/>
  <c r="C105" i="11" s="1"/>
  <c r="C121" i="11" s="1"/>
  <c r="C137" i="11" s="1"/>
  <c r="C153" i="11" s="1"/>
  <c r="C169" i="11" s="1"/>
  <c r="C90" i="11"/>
  <c r="C85" i="11"/>
  <c r="C84" i="11"/>
  <c r="C100" i="11" s="1"/>
  <c r="C116" i="11" s="1"/>
  <c r="C132" i="11" s="1"/>
  <c r="C148" i="11" s="1"/>
  <c r="C164" i="11" s="1"/>
  <c r="B3" i="8"/>
  <c r="T34" i="8"/>
  <c r="P34" i="8"/>
  <c r="L34" i="8"/>
  <c r="H34" i="8"/>
  <c r="C13" i="3"/>
  <c r="C15" i="3" s="1"/>
  <c r="B4" i="8" s="1"/>
  <c r="E9" i="3"/>
  <c r="A34" i="8"/>
  <c r="B34" i="8"/>
  <c r="C34" i="8"/>
  <c r="A35" i="8"/>
  <c r="B35" i="8"/>
  <c r="C35" i="8"/>
  <c r="A36" i="8"/>
  <c r="B36" i="8"/>
  <c r="C36" i="8"/>
  <c r="A37" i="8"/>
  <c r="B37" i="8"/>
  <c r="C37" i="8"/>
  <c r="A38" i="8"/>
  <c r="B38" i="8"/>
  <c r="C38" i="8"/>
  <c r="A39" i="8"/>
  <c r="B39" i="8"/>
  <c r="C39" i="8"/>
  <c r="A40" i="8"/>
  <c r="B40" i="8"/>
  <c r="C40" i="8"/>
  <c r="A41" i="8"/>
  <c r="B41" i="8"/>
  <c r="C41" i="8"/>
  <c r="A42" i="8"/>
  <c r="B42" i="8"/>
  <c r="C42" i="8"/>
  <c r="A43" i="8"/>
  <c r="B43" i="8"/>
  <c r="C43" i="8"/>
  <c r="A44" i="8"/>
  <c r="B44" i="8"/>
  <c r="C44" i="8"/>
  <c r="A45" i="8"/>
  <c r="B45" i="8"/>
  <c r="C45" i="8"/>
  <c r="A46" i="8"/>
  <c r="B46" i="8"/>
  <c r="C46" i="8"/>
  <c r="A47" i="8"/>
  <c r="B47" i="8"/>
  <c r="C47" i="8"/>
  <c r="A48" i="8"/>
  <c r="B48" i="8"/>
  <c r="C48" i="8"/>
  <c r="A49" i="8"/>
  <c r="B49" i="8"/>
  <c r="C49" i="8"/>
  <c r="A50" i="8"/>
  <c r="B50" i="8"/>
  <c r="C50" i="8"/>
  <c r="A51" i="8"/>
  <c r="B51" i="8"/>
  <c r="C51" i="8"/>
  <c r="A52" i="8"/>
  <c r="B52" i="8"/>
  <c r="C52" i="8"/>
  <c r="A53" i="8"/>
  <c r="B53" i="8"/>
  <c r="C53" i="8"/>
  <c r="A54" i="8"/>
  <c r="B54" i="8"/>
  <c r="C54" i="8"/>
  <c r="A55" i="8"/>
  <c r="B55" i="8"/>
  <c r="C55" i="8"/>
  <c r="A56" i="8"/>
  <c r="B56" i="8"/>
  <c r="C56" i="8"/>
  <c r="A57" i="8"/>
  <c r="B57" i="8"/>
  <c r="C57" i="8"/>
  <c r="A58" i="8"/>
  <c r="B58" i="8"/>
  <c r="C58" i="8"/>
  <c r="A59" i="8"/>
  <c r="B59" i="8"/>
  <c r="C59" i="8"/>
  <c r="A60" i="8"/>
  <c r="B60" i="8"/>
  <c r="C60" i="8"/>
  <c r="A61" i="8"/>
  <c r="B61" i="8"/>
  <c r="C61" i="8"/>
  <c r="A62" i="8"/>
  <c r="B62" i="8"/>
  <c r="C62" i="8"/>
  <c r="A63" i="8"/>
  <c r="B63" i="8"/>
  <c r="C63" i="8"/>
  <c r="B33" i="8"/>
  <c r="C33" i="8"/>
  <c r="A33" i="8"/>
  <c r="Q63" i="8"/>
  <c r="M63" i="8"/>
  <c r="I63" i="8"/>
  <c r="J63" i="8" s="1"/>
  <c r="E63" i="8"/>
  <c r="D63" i="8"/>
  <c r="Q62" i="8"/>
  <c r="M62" i="8"/>
  <c r="I62" i="8"/>
  <c r="E62" i="8"/>
  <c r="D62" i="8"/>
  <c r="Q61" i="8"/>
  <c r="M61" i="8"/>
  <c r="I61" i="8"/>
  <c r="J61" i="8" s="1"/>
  <c r="E61" i="8"/>
  <c r="D61" i="8"/>
  <c r="Q60" i="8"/>
  <c r="M60" i="8"/>
  <c r="I60" i="8"/>
  <c r="J60" i="8" s="1"/>
  <c r="K60" i="8" s="1"/>
  <c r="E60" i="8"/>
  <c r="D60" i="8"/>
  <c r="Q59" i="8"/>
  <c r="M59" i="8"/>
  <c r="I59" i="8"/>
  <c r="J59" i="8" s="1"/>
  <c r="E59" i="8"/>
  <c r="D59" i="8"/>
  <c r="Q58" i="8"/>
  <c r="R58" i="8" s="1"/>
  <c r="M58" i="8"/>
  <c r="N58" i="8" s="1"/>
  <c r="I58" i="8"/>
  <c r="J58" i="8" s="1"/>
  <c r="E58" i="8"/>
  <c r="F58" i="8" s="1"/>
  <c r="D58" i="8"/>
  <c r="Q57" i="8"/>
  <c r="M57" i="8"/>
  <c r="I57" i="8"/>
  <c r="J57" i="8" s="1"/>
  <c r="E57" i="8"/>
  <c r="D57" i="8"/>
  <c r="Q56" i="8"/>
  <c r="M56" i="8"/>
  <c r="I56" i="8"/>
  <c r="J56" i="8" s="1"/>
  <c r="E56" i="8"/>
  <c r="F56" i="8" s="1"/>
  <c r="D56" i="8"/>
  <c r="Q55" i="8"/>
  <c r="M55" i="8"/>
  <c r="I55" i="8"/>
  <c r="J55" i="8" s="1"/>
  <c r="E55" i="8"/>
  <c r="D55" i="8"/>
  <c r="Q54" i="8"/>
  <c r="M54" i="8"/>
  <c r="I54" i="8"/>
  <c r="J54" i="8" s="1"/>
  <c r="E54" i="8"/>
  <c r="D54" i="8"/>
  <c r="Q53" i="8"/>
  <c r="M53" i="8"/>
  <c r="I53" i="8"/>
  <c r="J53" i="8" s="1"/>
  <c r="E53" i="8"/>
  <c r="D53" i="8"/>
  <c r="Q52" i="8"/>
  <c r="M52" i="8"/>
  <c r="I52" i="8"/>
  <c r="J52" i="8" s="1"/>
  <c r="K52" i="8" s="1"/>
  <c r="E52" i="8"/>
  <c r="D52" i="8"/>
  <c r="Q51" i="8"/>
  <c r="M51" i="8"/>
  <c r="I51" i="8"/>
  <c r="J51" i="8" s="1"/>
  <c r="E51" i="8"/>
  <c r="D51" i="8"/>
  <c r="Q50" i="8"/>
  <c r="R50" i="8" s="1"/>
  <c r="M50" i="8"/>
  <c r="N50" i="8" s="1"/>
  <c r="I50" i="8"/>
  <c r="J50" i="8" s="1"/>
  <c r="E50" i="8"/>
  <c r="F50" i="8" s="1"/>
  <c r="D50" i="8"/>
  <c r="Q49" i="8"/>
  <c r="M49" i="8"/>
  <c r="I49" i="8"/>
  <c r="J49" i="8" s="1"/>
  <c r="E49" i="8"/>
  <c r="D49" i="8"/>
  <c r="Q48" i="8"/>
  <c r="M48" i="8"/>
  <c r="I48" i="8"/>
  <c r="J48" i="8" s="1"/>
  <c r="E48" i="8"/>
  <c r="D48" i="8"/>
  <c r="Q47" i="8"/>
  <c r="M47" i="8"/>
  <c r="I47" i="8"/>
  <c r="J47" i="8" s="1"/>
  <c r="E47" i="8"/>
  <c r="D47" i="8"/>
  <c r="Q46" i="8"/>
  <c r="M46" i="8"/>
  <c r="I46" i="8"/>
  <c r="J46" i="8" s="1"/>
  <c r="E46" i="8"/>
  <c r="D46" i="8"/>
  <c r="Q45" i="8"/>
  <c r="M45" i="8"/>
  <c r="I45" i="8"/>
  <c r="J45" i="8" s="1"/>
  <c r="E45" i="8"/>
  <c r="D45" i="8"/>
  <c r="Q44" i="8"/>
  <c r="M44" i="8"/>
  <c r="I44" i="8"/>
  <c r="J44" i="8" s="1"/>
  <c r="K44" i="8" s="1"/>
  <c r="E44" i="8"/>
  <c r="D44" i="8"/>
  <c r="Q43" i="8"/>
  <c r="M43" i="8"/>
  <c r="I43" i="8"/>
  <c r="J43" i="8" s="1"/>
  <c r="E43" i="8"/>
  <c r="D43" i="8"/>
  <c r="Q42" i="8"/>
  <c r="R42" i="8" s="1"/>
  <c r="M42" i="8"/>
  <c r="N42" i="8" s="1"/>
  <c r="I42" i="8"/>
  <c r="J42" i="8" s="1"/>
  <c r="E42" i="8"/>
  <c r="F42" i="8" s="1"/>
  <c r="D42" i="8"/>
  <c r="Q41" i="8"/>
  <c r="M41" i="8"/>
  <c r="I41" i="8"/>
  <c r="J41" i="8" s="1"/>
  <c r="E41" i="8"/>
  <c r="D41" i="8"/>
  <c r="Q40" i="8"/>
  <c r="M40" i="8"/>
  <c r="I40" i="8"/>
  <c r="J40" i="8" s="1"/>
  <c r="E40" i="8"/>
  <c r="D40" i="8"/>
  <c r="Q39" i="8"/>
  <c r="M39" i="8"/>
  <c r="I39" i="8"/>
  <c r="J39" i="8" s="1"/>
  <c r="E39" i="8"/>
  <c r="D39" i="8"/>
  <c r="Q38" i="8"/>
  <c r="M38" i="8"/>
  <c r="I38" i="8"/>
  <c r="J38" i="8" s="1"/>
  <c r="E38" i="8"/>
  <c r="D38" i="8"/>
  <c r="Q37" i="8"/>
  <c r="M37" i="8"/>
  <c r="I37" i="8"/>
  <c r="J37" i="8" s="1"/>
  <c r="E37" i="8"/>
  <c r="D37" i="8"/>
  <c r="Q36" i="8"/>
  <c r="M36" i="8"/>
  <c r="I36" i="8"/>
  <c r="J36" i="8" s="1"/>
  <c r="K36" i="8" s="1"/>
  <c r="E36" i="8"/>
  <c r="D36" i="8"/>
  <c r="Q35" i="8"/>
  <c r="M35" i="8"/>
  <c r="I35" i="8"/>
  <c r="J35" i="8" s="1"/>
  <c r="E35" i="8"/>
  <c r="D35" i="8"/>
  <c r="Q34" i="8"/>
  <c r="M34" i="8"/>
  <c r="I34" i="8"/>
  <c r="E34" i="8"/>
  <c r="D34" i="8"/>
  <c r="D179" i="11"/>
  <c r="D178" i="11"/>
  <c r="D177" i="11"/>
  <c r="D176" i="11"/>
  <c r="D175" i="11"/>
  <c r="D174" i="11"/>
  <c r="D173" i="11"/>
  <c r="D172" i="11"/>
  <c r="D171" i="11"/>
  <c r="D170" i="11"/>
  <c r="D169" i="11"/>
  <c r="D168" i="11"/>
  <c r="D167" i="11"/>
  <c r="D166" i="11"/>
  <c r="D165" i="11"/>
  <c r="D164" i="11"/>
  <c r="D163" i="11"/>
  <c r="D162" i="11"/>
  <c r="D161" i="11"/>
  <c r="D160" i="11"/>
  <c r="D159" i="11"/>
  <c r="D158" i="11"/>
  <c r="D157" i="11"/>
  <c r="D156" i="11"/>
  <c r="D155" i="11"/>
  <c r="D154" i="11"/>
  <c r="D153" i="11"/>
  <c r="D152" i="11"/>
  <c r="D151" i="11"/>
  <c r="D150" i="11"/>
  <c r="D149" i="11"/>
  <c r="D148" i="11"/>
  <c r="D147" i="11"/>
  <c r="D146" i="11"/>
  <c r="D145" i="11"/>
  <c r="D144" i="11"/>
  <c r="D143" i="11"/>
  <c r="D142" i="11"/>
  <c r="D141" i="11"/>
  <c r="D140" i="11"/>
  <c r="D139" i="11"/>
  <c r="D138" i="11"/>
  <c r="D137" i="11"/>
  <c r="D136" i="11"/>
  <c r="D135" i="11"/>
  <c r="D134" i="11"/>
  <c r="D133" i="11"/>
  <c r="D132" i="11"/>
  <c r="D131" i="11"/>
  <c r="D130" i="11"/>
  <c r="D129" i="11"/>
  <c r="D128" i="11"/>
  <c r="D127" i="11"/>
  <c r="D126" i="11"/>
  <c r="D125" i="11"/>
  <c r="D124" i="11"/>
  <c r="D123" i="11"/>
  <c r="D122" i="11"/>
  <c r="D121" i="11"/>
  <c r="D120" i="11"/>
  <c r="D119" i="11"/>
  <c r="D118" i="11"/>
  <c r="D117" i="11"/>
  <c r="D116" i="11"/>
  <c r="D115" i="11"/>
  <c r="D114" i="11"/>
  <c r="D113" i="11"/>
  <c r="D112" i="11"/>
  <c r="D111" i="11"/>
  <c r="D110" i="11"/>
  <c r="D109" i="11"/>
  <c r="D108" i="11"/>
  <c r="D107" i="11"/>
  <c r="D106" i="11"/>
  <c r="D105" i="11"/>
  <c r="D104" i="11"/>
  <c r="D103" i="11"/>
  <c r="D102" i="11"/>
  <c r="D101" i="11"/>
  <c r="D100" i="11"/>
  <c r="D99" i="11"/>
  <c r="D98" i="11"/>
  <c r="D97" i="11"/>
  <c r="D96" i="11"/>
  <c r="D95" i="11"/>
  <c r="D94" i="11"/>
  <c r="D93" i="11"/>
  <c r="D92" i="11"/>
  <c r="D91" i="11"/>
  <c r="D90" i="11"/>
  <c r="D89" i="11"/>
  <c r="D88" i="11"/>
  <c r="D87" i="11"/>
  <c r="D86" i="11"/>
  <c r="D85" i="11"/>
  <c r="D84" i="11"/>
  <c r="D83" i="11"/>
  <c r="D82" i="11"/>
  <c r="D81" i="11"/>
  <c r="D80" i="11"/>
  <c r="D79" i="11"/>
  <c r="D78" i="11"/>
  <c r="D77" i="11"/>
  <c r="D76" i="11"/>
  <c r="D75" i="11"/>
  <c r="D74" i="11"/>
  <c r="D73" i="11"/>
  <c r="D72" i="11"/>
  <c r="D71" i="11"/>
  <c r="D70" i="11"/>
  <c r="D69" i="11"/>
  <c r="D68" i="11"/>
  <c r="E8" i="3"/>
  <c r="J62" i="8" l="1"/>
  <c r="F37" i="8"/>
  <c r="F45" i="8"/>
  <c r="F53" i="8"/>
  <c r="F61" i="8"/>
  <c r="N37" i="8"/>
  <c r="O37" i="8" s="1"/>
  <c r="N45" i="8"/>
  <c r="O45" i="8" s="1"/>
  <c r="N53" i="8"/>
  <c r="O53" i="8" s="1"/>
  <c r="R37" i="8"/>
  <c r="S37" i="8" s="1"/>
  <c r="K39" i="8"/>
  <c r="R45" i="8"/>
  <c r="K47" i="8"/>
  <c r="R53" i="8"/>
  <c r="K55" i="8"/>
  <c r="R36" i="8"/>
  <c r="S36" i="8" s="1"/>
  <c r="K38" i="8"/>
  <c r="K46" i="8"/>
  <c r="K54" i="8"/>
  <c r="N49" i="8"/>
  <c r="F41" i="8"/>
  <c r="G41" i="8" s="1"/>
  <c r="F49" i="8"/>
  <c r="G49" i="8" s="1"/>
  <c r="F57" i="8"/>
  <c r="G57" i="8" s="1"/>
  <c r="N57" i="8"/>
  <c r="K35" i="8"/>
  <c r="R41" i="8"/>
  <c r="S41" i="8" s="1"/>
  <c r="K43" i="8"/>
  <c r="R49" i="8"/>
  <c r="K51" i="8"/>
  <c r="R57" i="8"/>
  <c r="S57" i="8" s="1"/>
  <c r="N41" i="8"/>
  <c r="O41" i="8" s="1"/>
  <c r="B6" i="8"/>
  <c r="B5" i="8"/>
  <c r="N36" i="8"/>
  <c r="O36" i="8" s="1"/>
  <c r="N44" i="8"/>
  <c r="O44" i="8" s="1"/>
  <c r="N52" i="8"/>
  <c r="O52" i="8" s="1"/>
  <c r="F36" i="8"/>
  <c r="G36" i="8" s="1"/>
  <c r="O42" i="8"/>
  <c r="F44" i="8"/>
  <c r="G44" i="8" s="1"/>
  <c r="O50" i="8"/>
  <c r="F52" i="8"/>
  <c r="G52" i="8" s="1"/>
  <c r="F60" i="8"/>
  <c r="G60" i="8" s="1"/>
  <c r="K59" i="8"/>
  <c r="R61" i="8"/>
  <c r="S61" i="8" s="1"/>
  <c r="K63" i="8"/>
  <c r="G56" i="8"/>
  <c r="R38" i="8"/>
  <c r="S38" i="8" s="1"/>
  <c r="K40" i="8"/>
  <c r="R46" i="8"/>
  <c r="S46" i="8" s="1"/>
  <c r="K48" i="8"/>
  <c r="R54" i="8"/>
  <c r="K56" i="8"/>
  <c r="R62" i="8"/>
  <c r="S62" i="8" s="1"/>
  <c r="N61" i="8"/>
  <c r="O61" i="8" s="1"/>
  <c r="N46" i="8"/>
  <c r="O46" i="8" s="1"/>
  <c r="N38" i="8"/>
  <c r="O38" i="8" s="1"/>
  <c r="N54" i="8"/>
  <c r="O54" i="8" s="1"/>
  <c r="N62" i="8"/>
  <c r="O62" i="8" s="1"/>
  <c r="F38" i="8"/>
  <c r="G38" i="8" s="1"/>
  <c r="F46" i="8"/>
  <c r="G46" i="8" s="1"/>
  <c r="F54" i="8"/>
  <c r="G54" i="8" s="1"/>
  <c r="N35" i="8"/>
  <c r="O35" i="8" s="1"/>
  <c r="F35" i="8"/>
  <c r="G35" i="8" s="1"/>
  <c r="F43" i="8"/>
  <c r="G43" i="8" s="1"/>
  <c r="F51" i="8"/>
  <c r="G51" i="8" s="1"/>
  <c r="F59" i="8"/>
  <c r="G59" i="8" s="1"/>
  <c r="N51" i="8"/>
  <c r="O51" i="8" s="1"/>
  <c r="G53" i="8"/>
  <c r="N59" i="8"/>
  <c r="O59" i="8" s="1"/>
  <c r="G61" i="8"/>
  <c r="G37" i="8"/>
  <c r="N43" i="8"/>
  <c r="O43" i="8" s="1"/>
  <c r="R35" i="8"/>
  <c r="S35" i="8" s="1"/>
  <c r="K37" i="8"/>
  <c r="R43" i="8"/>
  <c r="S43" i="8" s="1"/>
  <c r="K45" i="8"/>
  <c r="R51" i="8"/>
  <c r="S51" i="8" s="1"/>
  <c r="K53" i="8"/>
  <c r="R59" i="8"/>
  <c r="S59" i="8" s="1"/>
  <c r="K61" i="8"/>
  <c r="G45" i="8"/>
  <c r="S45" i="8"/>
  <c r="S53" i="8"/>
  <c r="O58" i="8"/>
  <c r="F62" i="8"/>
  <c r="G62" i="8" s="1"/>
  <c r="N40" i="8"/>
  <c r="O40" i="8" s="1"/>
  <c r="G42" i="8"/>
  <c r="N48" i="8"/>
  <c r="O48" i="8" s="1"/>
  <c r="G50" i="8"/>
  <c r="N56" i="8"/>
  <c r="O56" i="8" s="1"/>
  <c r="G58" i="8"/>
  <c r="F39" i="8"/>
  <c r="G39" i="8" s="1"/>
  <c r="R40" i="8"/>
  <c r="S40" i="8" s="1"/>
  <c r="K42" i="8"/>
  <c r="F47" i="8"/>
  <c r="G47" i="8" s="1"/>
  <c r="R48" i="8"/>
  <c r="S48" i="8" s="1"/>
  <c r="K50" i="8"/>
  <c r="F55" i="8"/>
  <c r="G55" i="8" s="1"/>
  <c r="R56" i="8"/>
  <c r="S56" i="8" s="1"/>
  <c r="K58" i="8"/>
  <c r="F63" i="8"/>
  <c r="G63" i="8" s="1"/>
  <c r="S42" i="8"/>
  <c r="N47" i="8"/>
  <c r="O47" i="8" s="1"/>
  <c r="S50" i="8"/>
  <c r="N55" i="8"/>
  <c r="O55" i="8" s="1"/>
  <c r="S58" i="8"/>
  <c r="N63" i="8"/>
  <c r="O63" i="8" s="1"/>
  <c r="R39" i="8"/>
  <c r="S39" i="8" s="1"/>
  <c r="K41" i="8"/>
  <c r="R47" i="8"/>
  <c r="S47" i="8" s="1"/>
  <c r="K49" i="8"/>
  <c r="R55" i="8"/>
  <c r="S55" i="8" s="1"/>
  <c r="K57" i="8"/>
  <c r="N60" i="8"/>
  <c r="O60" i="8" s="1"/>
  <c r="R63" i="8"/>
  <c r="S63" i="8" s="1"/>
  <c r="O49" i="8"/>
  <c r="O57" i="8"/>
  <c r="N39" i="8"/>
  <c r="O39" i="8" s="1"/>
  <c r="F40" i="8"/>
  <c r="G40" i="8" s="1"/>
  <c r="F48" i="8"/>
  <c r="G48" i="8" s="1"/>
  <c r="S49" i="8"/>
  <c r="K62" i="8"/>
  <c r="R44" i="8"/>
  <c r="S44" i="8" s="1"/>
  <c r="R52" i="8"/>
  <c r="S52" i="8" s="1"/>
  <c r="R60" i="8"/>
  <c r="S60" i="8" s="1"/>
  <c r="S54" i="8"/>
  <c r="F34" i="8"/>
  <c r="G34" i="8" s="1"/>
  <c r="J34" i="8"/>
  <c r="K34" i="8" s="1"/>
  <c r="N34" i="8"/>
  <c r="O34" i="8" s="1"/>
  <c r="R34" i="8"/>
  <c r="S34" i="8" s="1"/>
  <c r="C14" i="3"/>
  <c r="A15" i="11" l="1"/>
  <c r="A8" i="15"/>
  <c r="E9" i="15"/>
  <c r="E10" i="15"/>
  <c r="E11" i="15"/>
  <c r="B8" i="15"/>
  <c r="C8" i="15"/>
  <c r="D8" i="15"/>
  <c r="B9" i="15"/>
  <c r="C9" i="15"/>
  <c r="C16" i="15" s="1"/>
  <c r="D9" i="15"/>
  <c r="D16" i="15" s="1"/>
  <c r="B10" i="15"/>
  <c r="C10" i="15"/>
  <c r="D10" i="15"/>
  <c r="B11" i="15"/>
  <c r="C11" i="15"/>
  <c r="D11" i="15"/>
  <c r="B18" i="15"/>
  <c r="C12" i="15"/>
  <c r="C18" i="15" s="1"/>
  <c r="D12" i="15"/>
  <c r="D18" i="15" s="1"/>
  <c r="B13" i="15"/>
  <c r="B17" i="15" s="1"/>
  <c r="B19" i="15" s="1"/>
  <c r="C13" i="15"/>
  <c r="C17" i="15" s="1"/>
  <c r="D13" i="15"/>
  <c r="D17" i="15" s="1"/>
  <c r="B14" i="15"/>
  <c r="C14" i="15"/>
  <c r="D14" i="15"/>
  <c r="A9" i="15"/>
  <c r="A10" i="15"/>
  <c r="A11" i="15"/>
  <c r="A12" i="15"/>
  <c r="A13" i="15"/>
  <c r="A14" i="15"/>
  <c r="B115" i="11"/>
  <c r="B114" i="11"/>
  <c r="B113" i="11"/>
  <c r="B112" i="11"/>
  <c r="B111" i="11"/>
  <c r="B110" i="11"/>
  <c r="B109" i="11"/>
  <c r="B108" i="11"/>
  <c r="B107" i="11"/>
  <c r="B106" i="11"/>
  <c r="B105" i="11"/>
  <c r="B104" i="11"/>
  <c r="B103" i="11"/>
  <c r="B102" i="11"/>
  <c r="B101" i="11"/>
  <c r="B131" i="11"/>
  <c r="B130" i="11"/>
  <c r="B129" i="11"/>
  <c r="B128" i="11"/>
  <c r="B127" i="11"/>
  <c r="B126" i="11"/>
  <c r="B125" i="11"/>
  <c r="B124" i="11"/>
  <c r="B123" i="11"/>
  <c r="B122" i="11"/>
  <c r="B121" i="11"/>
  <c r="B120" i="11"/>
  <c r="B119" i="11"/>
  <c r="B118" i="11"/>
  <c r="B117" i="11"/>
  <c r="B147" i="11"/>
  <c r="B146" i="11"/>
  <c r="B145" i="11"/>
  <c r="B144" i="11"/>
  <c r="B143" i="11"/>
  <c r="B142" i="11"/>
  <c r="B141" i="11"/>
  <c r="B140" i="11"/>
  <c r="B139" i="11"/>
  <c r="B138" i="11"/>
  <c r="B137" i="11"/>
  <c r="B136" i="11"/>
  <c r="B135" i="11"/>
  <c r="B134" i="11"/>
  <c r="B133" i="11"/>
  <c r="B163" i="11"/>
  <c r="B162" i="11"/>
  <c r="B161" i="11"/>
  <c r="B160" i="11"/>
  <c r="B159" i="11"/>
  <c r="B158" i="11"/>
  <c r="B157" i="11"/>
  <c r="B156" i="11"/>
  <c r="B155" i="11"/>
  <c r="B154" i="11"/>
  <c r="B153" i="11"/>
  <c r="B152" i="11"/>
  <c r="B151" i="11"/>
  <c r="B150" i="11"/>
  <c r="B149" i="11"/>
  <c r="B179" i="11"/>
  <c r="B178" i="11"/>
  <c r="B177" i="11"/>
  <c r="B176" i="11"/>
  <c r="B175" i="11"/>
  <c r="B174" i="11"/>
  <c r="B173" i="11"/>
  <c r="B172" i="11"/>
  <c r="B171" i="11"/>
  <c r="B170" i="11"/>
  <c r="B169" i="11"/>
  <c r="B168" i="11"/>
  <c r="B167" i="11"/>
  <c r="B166" i="11"/>
  <c r="B165" i="11"/>
  <c r="B164" i="11"/>
  <c r="A164" i="11" s="1"/>
  <c r="B148" i="11"/>
  <c r="A148" i="11" s="1"/>
  <c r="B132" i="11"/>
  <c r="A132" i="11" s="1"/>
  <c r="B116" i="11"/>
  <c r="A116" i="11" s="1"/>
  <c r="B100" i="11"/>
  <c r="A100" i="11" s="1"/>
  <c r="B84" i="11"/>
  <c r="A84" i="11" s="1"/>
  <c r="B83" i="11"/>
  <c r="B82" i="11"/>
  <c r="B81" i="11"/>
  <c r="B80" i="11"/>
  <c r="B79" i="11"/>
  <c r="B78" i="11"/>
  <c r="B77" i="11"/>
  <c r="B76" i="11"/>
  <c r="B75" i="11"/>
  <c r="B74" i="11"/>
  <c r="B73" i="11"/>
  <c r="B72" i="11"/>
  <c r="B71" i="11"/>
  <c r="B70" i="11"/>
  <c r="B69" i="11"/>
  <c r="B68" i="11"/>
  <c r="X32" i="11"/>
  <c r="U32" i="11"/>
  <c r="R32" i="11"/>
  <c r="O32" i="11"/>
  <c r="L32" i="11"/>
  <c r="I32" i="11"/>
  <c r="D4" i="11"/>
  <c r="A21" i="11"/>
  <c r="B21" i="11"/>
  <c r="F92" i="8"/>
  <c r="F93" i="8"/>
  <c r="F94" i="8"/>
  <c r="F91" i="8"/>
  <c r="F85" i="8"/>
  <c r="F86" i="8"/>
  <c r="F87" i="8"/>
  <c r="F84" i="8"/>
  <c r="F78" i="8"/>
  <c r="F79" i="8"/>
  <c r="F80" i="8"/>
  <c r="F77" i="8"/>
  <c r="E77" i="8"/>
  <c r="A20" i="11"/>
  <c r="B20" i="11"/>
  <c r="A16" i="11"/>
  <c r="B16" i="11"/>
  <c r="A17" i="11"/>
  <c r="B17" i="11"/>
  <c r="A18" i="11"/>
  <c r="B18" i="11"/>
  <c r="A19" i="11"/>
  <c r="B19" i="11"/>
  <c r="B15" i="11"/>
  <c r="E86" i="8"/>
  <c r="B89" i="8"/>
  <c r="B82" i="8"/>
  <c r="B75" i="8"/>
  <c r="E94" i="8"/>
  <c r="D94" i="8"/>
  <c r="C94" i="8"/>
  <c r="B94" i="8"/>
  <c r="A94" i="8"/>
  <c r="E93" i="8"/>
  <c r="D93" i="8"/>
  <c r="C93" i="8"/>
  <c r="B93" i="8"/>
  <c r="A93" i="8"/>
  <c r="E92" i="8"/>
  <c r="D92" i="8"/>
  <c r="C92" i="8"/>
  <c r="B92" i="8"/>
  <c r="A92" i="8"/>
  <c r="E91" i="8"/>
  <c r="D91" i="8"/>
  <c r="C91" i="8"/>
  <c r="B91" i="8"/>
  <c r="A91" i="8"/>
  <c r="E87" i="8"/>
  <c r="D87" i="8"/>
  <c r="C87" i="8"/>
  <c r="B87" i="8"/>
  <c r="A87" i="8"/>
  <c r="D86" i="8"/>
  <c r="C86" i="8"/>
  <c r="B86" i="8"/>
  <c r="A86" i="8"/>
  <c r="E85" i="8"/>
  <c r="D85" i="8"/>
  <c r="C85" i="8"/>
  <c r="B85" i="8"/>
  <c r="A85" i="8"/>
  <c r="E84" i="8"/>
  <c r="D84" i="8"/>
  <c r="C84" i="8"/>
  <c r="B84" i="8"/>
  <c r="A84" i="8"/>
  <c r="E80" i="8"/>
  <c r="D80" i="8"/>
  <c r="C80" i="8"/>
  <c r="B80" i="8"/>
  <c r="A80" i="8"/>
  <c r="E79" i="8"/>
  <c r="D79" i="8"/>
  <c r="C79" i="8"/>
  <c r="B79" i="8"/>
  <c r="A79" i="8"/>
  <c r="E78" i="8"/>
  <c r="D78" i="8"/>
  <c r="C78" i="8"/>
  <c r="B78" i="8"/>
  <c r="A78" i="8"/>
  <c r="D77" i="8"/>
  <c r="C77" i="8"/>
  <c r="B77" i="8"/>
  <c r="A77" i="8"/>
  <c r="A53" i="11"/>
  <c r="B53" i="11"/>
  <c r="C53" i="11"/>
  <c r="A54" i="11"/>
  <c r="B54" i="11"/>
  <c r="C54" i="11"/>
  <c r="A55" i="11"/>
  <c r="B55" i="11"/>
  <c r="C55" i="11"/>
  <c r="A56" i="11"/>
  <c r="B56" i="11"/>
  <c r="C56" i="11"/>
  <c r="A57" i="11"/>
  <c r="B57" i="11"/>
  <c r="C57" i="11"/>
  <c r="A58" i="11"/>
  <c r="B58" i="11"/>
  <c r="C58" i="11"/>
  <c r="A59" i="11"/>
  <c r="B59" i="11"/>
  <c r="C59" i="11"/>
  <c r="A60" i="11"/>
  <c r="B60" i="11"/>
  <c r="C60" i="11"/>
  <c r="A61" i="11"/>
  <c r="B61" i="11"/>
  <c r="C61" i="11"/>
  <c r="A62" i="11"/>
  <c r="B62" i="11"/>
  <c r="C62" i="11"/>
  <c r="A63" i="11"/>
  <c r="B63" i="11"/>
  <c r="C63" i="11"/>
  <c r="A45" i="11"/>
  <c r="B45" i="11"/>
  <c r="C45" i="11"/>
  <c r="A46" i="11"/>
  <c r="B46" i="11"/>
  <c r="C46" i="11"/>
  <c r="A47" i="11"/>
  <c r="B47" i="11"/>
  <c r="C47" i="11"/>
  <c r="A48" i="11"/>
  <c r="B48" i="11"/>
  <c r="C48" i="11"/>
  <c r="A49" i="11"/>
  <c r="B49" i="11"/>
  <c r="C49" i="11"/>
  <c r="A50" i="11"/>
  <c r="B50" i="11"/>
  <c r="C50" i="11"/>
  <c r="A51" i="11"/>
  <c r="B51" i="11"/>
  <c r="C51" i="11"/>
  <c r="A52" i="11"/>
  <c r="B52" i="11"/>
  <c r="C52" i="11"/>
  <c r="A44" i="11"/>
  <c r="B44" i="11"/>
  <c r="C44" i="11"/>
  <c r="A35" i="11"/>
  <c r="B35" i="11"/>
  <c r="C35" i="11"/>
  <c r="A36" i="11"/>
  <c r="B36" i="11"/>
  <c r="C36" i="11"/>
  <c r="A37" i="11"/>
  <c r="B37" i="11"/>
  <c r="C37" i="11"/>
  <c r="A38" i="11"/>
  <c r="B38" i="11"/>
  <c r="C38" i="11"/>
  <c r="A39" i="11"/>
  <c r="B39" i="11"/>
  <c r="C39" i="11"/>
  <c r="A40" i="11"/>
  <c r="B40" i="11"/>
  <c r="C40" i="11"/>
  <c r="D40" i="11"/>
  <c r="A41" i="11"/>
  <c r="B41" i="11"/>
  <c r="C41" i="11"/>
  <c r="A42" i="11"/>
  <c r="B42" i="11"/>
  <c r="C42" i="11"/>
  <c r="A43" i="11"/>
  <c r="B43" i="11"/>
  <c r="C43" i="11"/>
  <c r="B34" i="11"/>
  <c r="C34" i="11"/>
  <c r="A34" i="11"/>
  <c r="D34" i="11"/>
  <c r="D35" i="11"/>
  <c r="D36" i="11"/>
  <c r="D37" i="11"/>
  <c r="D38" i="11"/>
  <c r="D39" i="11"/>
  <c r="D41" i="11"/>
  <c r="D42" i="11"/>
  <c r="D43" i="11"/>
  <c r="D44" i="11"/>
  <c r="D45" i="11"/>
  <c r="D46" i="11"/>
  <c r="D47" i="11"/>
  <c r="D48" i="11"/>
  <c r="D49" i="11"/>
  <c r="D50" i="11"/>
  <c r="D51" i="11"/>
  <c r="D52" i="11"/>
  <c r="D53" i="11"/>
  <c r="D54" i="11"/>
  <c r="D55" i="11"/>
  <c r="D56" i="11"/>
  <c r="D57" i="11"/>
  <c r="D58" i="11"/>
  <c r="D59" i="11"/>
  <c r="D60" i="11"/>
  <c r="D61" i="11"/>
  <c r="D62" i="11"/>
  <c r="D63" i="11"/>
  <c r="E10" i="3"/>
  <c r="E6" i="3"/>
  <c r="E7" i="3"/>
  <c r="E19" i="3"/>
  <c r="E20" i="3"/>
  <c r="E21" i="3"/>
  <c r="E18" i="3"/>
  <c r="B21" i="15" l="1"/>
  <c r="B16" i="15"/>
  <c r="D19" i="15"/>
  <c r="C19" i="15"/>
  <c r="C20" i="15"/>
  <c r="C21" i="15" s="1"/>
  <c r="C22" i="15" s="1"/>
  <c r="D20" i="15"/>
  <c r="D21" i="15" s="1"/>
  <c r="D22" i="15" s="1"/>
  <c r="G86" i="8"/>
  <c r="G85" i="8"/>
  <c r="G87" i="8"/>
  <c r="D23" i="15" l="1"/>
  <c r="D24" i="15" s="1"/>
  <c r="C23" i="15"/>
  <c r="C24" i="15" s="1"/>
  <c r="B24" i="15"/>
  <c r="AA69" i="11"/>
  <c r="AA70" i="11"/>
  <c r="AA71" i="11"/>
  <c r="AA72" i="11"/>
  <c r="AA73" i="11"/>
  <c r="AA74" i="11"/>
  <c r="AA75" i="11"/>
  <c r="AA76" i="11"/>
  <c r="AA77" i="11"/>
  <c r="AA78" i="11"/>
  <c r="AA79" i="11"/>
  <c r="AA80" i="11"/>
  <c r="AA81" i="11"/>
  <c r="AA82" i="11"/>
  <c r="AA83" i="11"/>
  <c r="AA84" i="11"/>
  <c r="AA85" i="11"/>
  <c r="AA86" i="11"/>
  <c r="AA87" i="11"/>
  <c r="AA88" i="11"/>
  <c r="AA89" i="11"/>
  <c r="AA90" i="11"/>
  <c r="AA91" i="11"/>
  <c r="AA92" i="11"/>
  <c r="AA93" i="11"/>
  <c r="AA94" i="11"/>
  <c r="AA95" i="11"/>
  <c r="AA96" i="11"/>
  <c r="AA97" i="11"/>
  <c r="AA98" i="11"/>
  <c r="AA99" i="11"/>
  <c r="AA100" i="11"/>
  <c r="AA101" i="11"/>
  <c r="AA102" i="11"/>
  <c r="AA103" i="11"/>
  <c r="AA104" i="11"/>
  <c r="AA105" i="11"/>
  <c r="AA106" i="11"/>
  <c r="AA107" i="11"/>
  <c r="AA108" i="11"/>
  <c r="AA109" i="11"/>
  <c r="AA110" i="11"/>
  <c r="AA111" i="11"/>
  <c r="AA112" i="11"/>
  <c r="AA113" i="11"/>
  <c r="AA114" i="11"/>
  <c r="AA115" i="11"/>
  <c r="AA116" i="11"/>
  <c r="AA117" i="11"/>
  <c r="AA118" i="11"/>
  <c r="AA119" i="11"/>
  <c r="AA120" i="11"/>
  <c r="AA121" i="11"/>
  <c r="AA122" i="11"/>
  <c r="AA123" i="11"/>
  <c r="AA124" i="11"/>
  <c r="AA125" i="11"/>
  <c r="AA126" i="11"/>
  <c r="AA127" i="11"/>
  <c r="AA128" i="11"/>
  <c r="AA129" i="11"/>
  <c r="AA130" i="11"/>
  <c r="AA131" i="11"/>
  <c r="AA132" i="11"/>
  <c r="AA133" i="11"/>
  <c r="AA134" i="11"/>
  <c r="AA135" i="11"/>
  <c r="AA136" i="11"/>
  <c r="AA137" i="11"/>
  <c r="AA138" i="11"/>
  <c r="AA139" i="11"/>
  <c r="AA140" i="11"/>
  <c r="AA141" i="11"/>
  <c r="AA142" i="11"/>
  <c r="AA143" i="11"/>
  <c r="AA144" i="11"/>
  <c r="AA145" i="11"/>
  <c r="AA146" i="11"/>
  <c r="AA147" i="11"/>
  <c r="AA148" i="11"/>
  <c r="AA149" i="11"/>
  <c r="AA150" i="11"/>
  <c r="AA151" i="11"/>
  <c r="AA152" i="11"/>
  <c r="AA153" i="11"/>
  <c r="AA154" i="11"/>
  <c r="AA155" i="11"/>
  <c r="AA156" i="11"/>
  <c r="AA157" i="11"/>
  <c r="AA158" i="11"/>
  <c r="AA159" i="11"/>
  <c r="AA160" i="11"/>
  <c r="AA161" i="11"/>
  <c r="AA162" i="11"/>
  <c r="AA163" i="11"/>
  <c r="AA164" i="11"/>
  <c r="AA165" i="11"/>
  <c r="AA166" i="11"/>
  <c r="AA167" i="11"/>
  <c r="AA168" i="11"/>
  <c r="AA169" i="11"/>
  <c r="AA170" i="11"/>
  <c r="AA171" i="11"/>
  <c r="AA172" i="11"/>
  <c r="AA173" i="11"/>
  <c r="AA174" i="11"/>
  <c r="AA175" i="11"/>
  <c r="AA176" i="11"/>
  <c r="AA177" i="11"/>
  <c r="AA178" i="11"/>
  <c r="AA179" i="11"/>
  <c r="AA68" i="11"/>
  <c r="C25" i="15" l="1"/>
  <c r="C26" i="15"/>
  <c r="C27" i="15" s="1"/>
  <c r="D25" i="15"/>
  <c r="D26" i="15"/>
  <c r="D27" i="15" s="1"/>
  <c r="B25" i="15"/>
  <c r="B26" i="15"/>
  <c r="B27" i="15" s="1"/>
  <c r="E35" i="11"/>
  <c r="E34" i="11"/>
  <c r="E58" i="11"/>
  <c r="E50" i="11"/>
  <c r="X50" i="11" s="1"/>
  <c r="Z50" i="11" s="1"/>
  <c r="E42" i="11"/>
  <c r="O42" i="11" s="1"/>
  <c r="P42" i="11" s="1"/>
  <c r="E56" i="11"/>
  <c r="U56" i="11" s="1"/>
  <c r="W56" i="11" s="1"/>
  <c r="E40" i="11"/>
  <c r="L40" i="11" s="1"/>
  <c r="N40" i="11" s="1"/>
  <c r="E48" i="11"/>
  <c r="E57" i="11"/>
  <c r="E49" i="11"/>
  <c r="E41" i="11"/>
  <c r="L41" i="11" s="1"/>
  <c r="E63" i="11"/>
  <c r="E55" i="11"/>
  <c r="X55" i="11" s="1"/>
  <c r="Z55" i="11" s="1"/>
  <c r="E47" i="11"/>
  <c r="X47" i="11" s="1"/>
  <c r="Z47" i="11" s="1"/>
  <c r="E39" i="11"/>
  <c r="E62" i="11"/>
  <c r="U62" i="11" s="1"/>
  <c r="W62" i="11" s="1"/>
  <c r="E54" i="11"/>
  <c r="E46" i="11"/>
  <c r="E38" i="11"/>
  <c r="E61" i="11"/>
  <c r="X61" i="11" s="1"/>
  <c r="Z61" i="11" s="1"/>
  <c r="E53" i="11"/>
  <c r="R53" i="11" s="1"/>
  <c r="E45" i="11"/>
  <c r="E37" i="11"/>
  <c r="O37" i="11" s="1"/>
  <c r="Q37" i="11" s="1"/>
  <c r="E60" i="11"/>
  <c r="E52" i="11"/>
  <c r="U52" i="11" s="1"/>
  <c r="W52" i="11" s="1"/>
  <c r="E44" i="11"/>
  <c r="U44" i="11" s="1"/>
  <c r="E36" i="11"/>
  <c r="X36" i="11" s="1"/>
  <c r="Z36" i="11" s="1"/>
  <c r="E59" i="11"/>
  <c r="I59" i="11" s="1"/>
  <c r="J59" i="11" s="1"/>
  <c r="E51" i="11"/>
  <c r="O51" i="11" s="1"/>
  <c r="Q51" i="11" s="1"/>
  <c r="E43" i="11"/>
  <c r="O41" i="11"/>
  <c r="Q41" i="11" s="1"/>
  <c r="X38" i="11"/>
  <c r="Y38" i="11" s="1"/>
  <c r="X35" i="11"/>
  <c r="X41" i="11"/>
  <c r="I58" i="11"/>
  <c r="I41" i="11"/>
  <c r="K41" i="11" s="1"/>
  <c r="H35" i="11" l="1"/>
  <c r="I35" i="11"/>
  <c r="I62" i="11"/>
  <c r="J62" i="11" s="1"/>
  <c r="L62" i="11"/>
  <c r="N62" i="11" s="1"/>
  <c r="R35" i="11"/>
  <c r="T35" i="11" s="1"/>
  <c r="O62" i="11"/>
  <c r="Q62" i="11" s="1"/>
  <c r="I34" i="11"/>
  <c r="J34" i="11" s="1"/>
  <c r="U35" i="11"/>
  <c r="U34" i="11" s="1"/>
  <c r="V34" i="11" s="1"/>
  <c r="O35" i="11"/>
  <c r="P35" i="11" s="1"/>
  <c r="R55" i="11"/>
  <c r="S55" i="11" s="1"/>
  <c r="R41" i="11"/>
  <c r="T41" i="11" s="1"/>
  <c r="U55" i="11"/>
  <c r="W55" i="11" s="1"/>
  <c r="R61" i="11"/>
  <c r="T61" i="11" s="1"/>
  <c r="L47" i="11"/>
  <c r="N47" i="11" s="1"/>
  <c r="O55" i="11"/>
  <c r="Q55" i="11" s="1"/>
  <c r="X40" i="11"/>
  <c r="Z40" i="11" s="1"/>
  <c r="I56" i="11"/>
  <c r="J56" i="11" s="1"/>
  <c r="R40" i="11"/>
  <c r="T40" i="11" s="1"/>
  <c r="O56" i="11"/>
  <c r="Q56" i="11" s="1"/>
  <c r="X56" i="11"/>
  <c r="Y56" i="11" s="1"/>
  <c r="L56" i="11"/>
  <c r="M56" i="11" s="1"/>
  <c r="V62" i="11"/>
  <c r="X44" i="11"/>
  <c r="Z44" i="11" s="1"/>
  <c r="R37" i="11"/>
  <c r="S37" i="11" s="1"/>
  <c r="L55" i="11"/>
  <c r="N55" i="11" s="1"/>
  <c r="U38" i="11"/>
  <c r="W38" i="11" s="1"/>
  <c r="I38" i="11"/>
  <c r="K38" i="11" s="1"/>
  <c r="R50" i="11"/>
  <c r="T50" i="11" s="1"/>
  <c r="O61" i="11"/>
  <c r="Q61" i="11" s="1"/>
  <c r="O59" i="11"/>
  <c r="I50" i="11"/>
  <c r="J50" i="11" s="1"/>
  <c r="I44" i="11"/>
  <c r="K44" i="11" s="1"/>
  <c r="I55" i="11"/>
  <c r="J55" i="11" s="1"/>
  <c r="L35" i="11"/>
  <c r="N35" i="11" s="1"/>
  <c r="G35" i="11"/>
  <c r="U50" i="11"/>
  <c r="V50" i="11" s="1"/>
  <c r="L50" i="11"/>
  <c r="M50" i="11" s="1"/>
  <c r="Y55" i="11"/>
  <c r="M41" i="11"/>
  <c r="N41" i="11"/>
  <c r="O52" i="11"/>
  <c r="H52" i="11"/>
  <c r="G52" i="11"/>
  <c r="G46" i="11"/>
  <c r="H46" i="11"/>
  <c r="X49" i="11"/>
  <c r="Z49" i="11" s="1"/>
  <c r="G49" i="11"/>
  <c r="H49" i="11"/>
  <c r="O58" i="11"/>
  <c r="G58" i="11"/>
  <c r="H58" i="11"/>
  <c r="L60" i="11"/>
  <c r="M60" i="11" s="1"/>
  <c r="H60" i="11"/>
  <c r="G60" i="11"/>
  <c r="G54" i="11"/>
  <c r="H54" i="11"/>
  <c r="U40" i="11"/>
  <c r="W40" i="11" s="1"/>
  <c r="R44" i="11"/>
  <c r="T44" i="11" s="1"/>
  <c r="L38" i="11"/>
  <c r="N38" i="11" s="1"/>
  <c r="U37" i="11"/>
  <c r="V37" i="11" s="1"/>
  <c r="G37" i="11"/>
  <c r="H37" i="11"/>
  <c r="G62" i="11"/>
  <c r="H62" i="11"/>
  <c r="G34" i="11"/>
  <c r="H34" i="11"/>
  <c r="O57" i="11"/>
  <c r="H57" i="11"/>
  <c r="G57" i="11"/>
  <c r="X57" i="11"/>
  <c r="Z57" i="11" s="1"/>
  <c r="O44" i="11"/>
  <c r="Q44" i="11" s="1"/>
  <c r="I43" i="11"/>
  <c r="K43" i="11" s="1"/>
  <c r="G43" i="11"/>
  <c r="H43" i="11"/>
  <c r="O45" i="11"/>
  <c r="P45" i="11" s="1"/>
  <c r="G45" i="11"/>
  <c r="H45" i="11"/>
  <c r="O39" i="11"/>
  <c r="Q39" i="11" s="1"/>
  <c r="G39" i="11"/>
  <c r="H39" i="11"/>
  <c r="G48" i="11"/>
  <c r="H48" i="11"/>
  <c r="R58" i="11"/>
  <c r="S58" i="11" s="1"/>
  <c r="I54" i="11"/>
  <c r="J54" i="11" s="1"/>
  <c r="R51" i="11"/>
  <c r="S51" i="11" s="1"/>
  <c r="H51" i="11"/>
  <c r="G51" i="11"/>
  <c r="Z38" i="11"/>
  <c r="X58" i="11"/>
  <c r="Y58" i="11" s="1"/>
  <c r="O38" i="11"/>
  <c r="Q38" i="11" s="1"/>
  <c r="I52" i="11"/>
  <c r="J52" i="11" s="1"/>
  <c r="R38" i="11"/>
  <c r="X59" i="11"/>
  <c r="Z59" i="11" s="1"/>
  <c r="G59" i="11"/>
  <c r="H59" i="11"/>
  <c r="I61" i="11"/>
  <c r="J61" i="11" s="1"/>
  <c r="G61" i="11"/>
  <c r="H61" i="11"/>
  <c r="G55" i="11"/>
  <c r="H55" i="11"/>
  <c r="R56" i="11"/>
  <c r="G56" i="11"/>
  <c r="H56" i="11"/>
  <c r="O53" i="11"/>
  <c r="Q53" i="11" s="1"/>
  <c r="G53" i="11"/>
  <c r="H53" i="11"/>
  <c r="U47" i="11"/>
  <c r="W47" i="11" s="1"/>
  <c r="G47" i="11"/>
  <c r="H47" i="11"/>
  <c r="O40" i="11"/>
  <c r="H40" i="11"/>
  <c r="G40" i="11"/>
  <c r="P41" i="11"/>
  <c r="V56" i="11"/>
  <c r="X52" i="11"/>
  <c r="Z52" i="11" s="1"/>
  <c r="L58" i="11"/>
  <c r="M58" i="11" s="1"/>
  <c r="U58" i="11"/>
  <c r="V58" i="11" s="1"/>
  <c r="R52" i="11"/>
  <c r="T52" i="11" s="1"/>
  <c r="U36" i="11"/>
  <c r="V36" i="11" s="1"/>
  <c r="H36" i="11"/>
  <c r="G36" i="11"/>
  <c r="I40" i="11"/>
  <c r="J40" i="11" s="1"/>
  <c r="O63" i="11"/>
  <c r="Q63" i="11" s="1"/>
  <c r="G63" i="11"/>
  <c r="H63" i="11"/>
  <c r="X42" i="11"/>
  <c r="G42" i="11"/>
  <c r="H42" i="11"/>
  <c r="L52" i="11"/>
  <c r="M52" i="11" s="1"/>
  <c r="R54" i="11"/>
  <c r="T54" i="11" s="1"/>
  <c r="U54" i="11"/>
  <c r="W54" i="11" s="1"/>
  <c r="L44" i="11"/>
  <c r="H44" i="11"/>
  <c r="G44" i="11"/>
  <c r="G38" i="11"/>
  <c r="H38" i="11"/>
  <c r="U41" i="11"/>
  <c r="G41" i="11"/>
  <c r="H41" i="11"/>
  <c r="O50" i="11"/>
  <c r="H50" i="11"/>
  <c r="G50" i="11"/>
  <c r="O36" i="11"/>
  <c r="Q36" i="11" s="1"/>
  <c r="I36" i="11"/>
  <c r="J36" i="11" s="1"/>
  <c r="L42" i="11"/>
  <c r="M42" i="11" s="1"/>
  <c r="I63" i="11"/>
  <c r="K63" i="11" s="1"/>
  <c r="R42" i="11"/>
  <c r="T42" i="11" s="1"/>
  <c r="I42" i="11"/>
  <c r="J42" i="11" s="1"/>
  <c r="R63" i="11"/>
  <c r="T63" i="11" s="1"/>
  <c r="U42" i="11"/>
  <c r="W42" i="11" s="1"/>
  <c r="L63" i="11"/>
  <c r="M63" i="11" s="1"/>
  <c r="L36" i="11"/>
  <c r="M36" i="11" s="1"/>
  <c r="U63" i="11"/>
  <c r="X63" i="11"/>
  <c r="Z63" i="11" s="1"/>
  <c r="R36" i="11"/>
  <c r="T36" i="11" s="1"/>
  <c r="O43" i="11"/>
  <c r="Q43" i="11" s="1"/>
  <c r="M40" i="11"/>
  <c r="L43" i="11"/>
  <c r="U39" i="11"/>
  <c r="W39" i="11" s="1"/>
  <c r="R48" i="11"/>
  <c r="T48" i="11" s="1"/>
  <c r="J41" i="11"/>
  <c r="P37" i="11"/>
  <c r="X43" i="11"/>
  <c r="Z43" i="11" s="1"/>
  <c r="R45" i="11"/>
  <c r="T45" i="11" s="1"/>
  <c r="U48" i="11"/>
  <c r="X48" i="11"/>
  <c r="X39" i="11"/>
  <c r="Y39" i="11" s="1"/>
  <c r="U51" i="11"/>
  <c r="W51" i="11" s="1"/>
  <c r="O48" i="11"/>
  <c r="P48" i="11" s="1"/>
  <c r="R39" i="11"/>
  <c r="S39" i="11" s="1"/>
  <c r="L51" i="11"/>
  <c r="U45" i="11"/>
  <c r="W45" i="11" s="1"/>
  <c r="I48" i="11"/>
  <c r="X51" i="11"/>
  <c r="Z51" i="11" s="1"/>
  <c r="X45" i="11"/>
  <c r="I51" i="11"/>
  <c r="J51" i="11" s="1"/>
  <c r="L48" i="11"/>
  <c r="X62" i="11"/>
  <c r="Z62" i="11" s="1"/>
  <c r="S41" i="11"/>
  <c r="K59" i="11"/>
  <c r="U60" i="11"/>
  <c r="W60" i="11" s="1"/>
  <c r="L57" i="11"/>
  <c r="X54" i="11"/>
  <c r="I60" i="11"/>
  <c r="K60" i="11" s="1"/>
  <c r="R47" i="11"/>
  <c r="S47" i="11" s="1"/>
  <c r="U53" i="11"/>
  <c r="W53" i="11" s="1"/>
  <c r="L59" i="11"/>
  <c r="X46" i="11"/>
  <c r="L49" i="11"/>
  <c r="L54" i="11"/>
  <c r="O47" i="11"/>
  <c r="U46" i="11"/>
  <c r="P51" i="11"/>
  <c r="U59" i="11"/>
  <c r="O49" i="11"/>
  <c r="U57" i="11"/>
  <c r="I45" i="11"/>
  <c r="J45" i="11" s="1"/>
  <c r="R60" i="11"/>
  <c r="T60" i="11" s="1"/>
  <c r="O60" i="11"/>
  <c r="O54" i="11"/>
  <c r="Q54" i="11" s="1"/>
  <c r="O46" i="11"/>
  <c r="Q46" i="11" s="1"/>
  <c r="X60" i="11"/>
  <c r="Z60" i="11" s="1"/>
  <c r="L46" i="11"/>
  <c r="Y61" i="11"/>
  <c r="R46" i="11"/>
  <c r="I57" i="11"/>
  <c r="R59" i="11"/>
  <c r="T59" i="11" s="1"/>
  <c r="U49" i="11"/>
  <c r="W49" i="11" s="1"/>
  <c r="I46" i="11"/>
  <c r="J46" i="11" s="1"/>
  <c r="I47" i="11"/>
  <c r="R57" i="11"/>
  <c r="R43" i="11"/>
  <c r="I37" i="11"/>
  <c r="X37" i="11"/>
  <c r="X53" i="11"/>
  <c r="L61" i="11"/>
  <c r="U61" i="11"/>
  <c r="I53" i="11"/>
  <c r="J53" i="11" s="1"/>
  <c r="U43" i="11"/>
  <c r="I39" i="11"/>
  <c r="L45" i="11"/>
  <c r="M45" i="11" s="1"/>
  <c r="R62" i="11"/>
  <c r="T62" i="11" s="1"/>
  <c r="L37" i="11"/>
  <c r="R49" i="11"/>
  <c r="I49" i="11"/>
  <c r="L53" i="11"/>
  <c r="L39" i="11"/>
  <c r="Q42" i="11"/>
  <c r="V55" i="11"/>
  <c r="V52" i="11"/>
  <c r="Z35" i="11"/>
  <c r="X34" i="11"/>
  <c r="Z34" i="11" s="1"/>
  <c r="Y36" i="11"/>
  <c r="Y35" i="11"/>
  <c r="Y50" i="11"/>
  <c r="Y47" i="11"/>
  <c r="V44" i="11"/>
  <c r="W44" i="11"/>
  <c r="Z41" i="11"/>
  <c r="Y41" i="11"/>
  <c r="J58" i="11"/>
  <c r="K58" i="11"/>
  <c r="S53" i="11"/>
  <c r="T53" i="11"/>
  <c r="K62" i="11" l="1"/>
  <c r="S61" i="11"/>
  <c r="R34" i="11"/>
  <c r="T34" i="11" s="1"/>
  <c r="S35" i="11"/>
  <c r="M62" i="11"/>
  <c r="E68" i="11"/>
  <c r="F68" i="11" s="1"/>
  <c r="W34" i="11"/>
  <c r="V35" i="11"/>
  <c r="W35" i="11"/>
  <c r="J44" i="11"/>
  <c r="P62" i="11"/>
  <c r="V42" i="11"/>
  <c r="J35" i="11"/>
  <c r="K34" i="11"/>
  <c r="K35" i="11"/>
  <c r="O34" i="11"/>
  <c r="P34" i="11" s="1"/>
  <c r="Q35" i="11"/>
  <c r="T55" i="11"/>
  <c r="S52" i="11"/>
  <c r="K55" i="11"/>
  <c r="P39" i="11"/>
  <c r="Y40" i="11"/>
  <c r="P44" i="11"/>
  <c r="P55" i="11"/>
  <c r="Y57" i="11"/>
  <c r="P36" i="11"/>
  <c r="T37" i="11"/>
  <c r="M47" i="11"/>
  <c r="M55" i="11"/>
  <c r="K56" i="11"/>
  <c r="S44" i="11"/>
  <c r="P56" i="11"/>
  <c r="V38" i="11"/>
  <c r="V40" i="11"/>
  <c r="W36" i="11"/>
  <c r="S40" i="11"/>
  <c r="J38" i="11"/>
  <c r="K51" i="11"/>
  <c r="P61" i="11"/>
  <c r="N36" i="11"/>
  <c r="Z58" i="11"/>
  <c r="N60" i="11"/>
  <c r="M38" i="11"/>
  <c r="S63" i="11"/>
  <c r="Z56" i="11"/>
  <c r="N56" i="11"/>
  <c r="K54" i="11"/>
  <c r="J60" i="11"/>
  <c r="Y43" i="11"/>
  <c r="V51" i="11"/>
  <c r="S36" i="11"/>
  <c r="Y59" i="11"/>
  <c r="K42" i="11"/>
  <c r="S45" i="11"/>
  <c r="T51" i="11"/>
  <c r="N50" i="11"/>
  <c r="W58" i="11"/>
  <c r="Y63" i="11"/>
  <c r="S42" i="11"/>
  <c r="J63" i="11"/>
  <c r="N58" i="11"/>
  <c r="V53" i="11"/>
  <c r="Y51" i="11"/>
  <c r="T58" i="11"/>
  <c r="Y44" i="11"/>
  <c r="J43" i="11"/>
  <c r="S50" i="11"/>
  <c r="W50" i="11"/>
  <c r="K36" i="11"/>
  <c r="P63" i="11"/>
  <c r="Q45" i="11"/>
  <c r="V54" i="11"/>
  <c r="Q59" i="11"/>
  <c r="P59" i="11"/>
  <c r="K52" i="11"/>
  <c r="K50" i="11"/>
  <c r="E69" i="11"/>
  <c r="Y52" i="11"/>
  <c r="L34" i="11"/>
  <c r="M35" i="11"/>
  <c r="V47" i="11"/>
  <c r="K53" i="11"/>
  <c r="K61" i="11"/>
  <c r="P53" i="11"/>
  <c r="N52" i="11"/>
  <c r="W37" i="11"/>
  <c r="K40" i="11"/>
  <c r="Y49" i="11"/>
  <c r="P38" i="11"/>
  <c r="S59" i="11"/>
  <c r="V60" i="11"/>
  <c r="W41" i="11"/>
  <c r="V41" i="11"/>
  <c r="S48" i="11"/>
  <c r="Q57" i="11"/>
  <c r="P57" i="11"/>
  <c r="S54" i="11"/>
  <c r="Z42" i="11"/>
  <c r="Y42" i="11"/>
  <c r="Q40" i="11"/>
  <c r="P40" i="11"/>
  <c r="T39" i="11"/>
  <c r="T56" i="11"/>
  <c r="S56" i="11"/>
  <c r="P58" i="11"/>
  <c r="Q58" i="11"/>
  <c r="Q52" i="11"/>
  <c r="P52" i="11"/>
  <c r="P43" i="11"/>
  <c r="P50" i="11"/>
  <c r="Q50" i="11"/>
  <c r="M44" i="11"/>
  <c r="N44" i="11"/>
  <c r="T38" i="11"/>
  <c r="S38" i="11"/>
  <c r="Q48" i="11"/>
  <c r="Y62" i="11"/>
  <c r="W63" i="11"/>
  <c r="V63" i="11"/>
  <c r="N42" i="11"/>
  <c r="N63" i="11"/>
  <c r="V49" i="11"/>
  <c r="N43" i="11"/>
  <c r="M43" i="11"/>
  <c r="V39" i="11"/>
  <c r="P54" i="11"/>
  <c r="S60" i="11"/>
  <c r="M48" i="11"/>
  <c r="N48" i="11"/>
  <c r="M51" i="11"/>
  <c r="N51" i="11"/>
  <c r="Z48" i="11"/>
  <c r="Y48" i="11"/>
  <c r="T47" i="11"/>
  <c r="W48" i="11"/>
  <c r="V48" i="11"/>
  <c r="K46" i="11"/>
  <c r="Z45" i="11"/>
  <c r="Y45" i="11"/>
  <c r="Z39" i="11"/>
  <c r="V45" i="11"/>
  <c r="J48" i="11"/>
  <c r="K48" i="11"/>
  <c r="T57" i="11"/>
  <c r="S57" i="11"/>
  <c r="J47" i="11"/>
  <c r="K47" i="11"/>
  <c r="W57" i="11"/>
  <c r="V57" i="11"/>
  <c r="W46" i="11"/>
  <c r="V46" i="11"/>
  <c r="Z46" i="11"/>
  <c r="Y46" i="11"/>
  <c r="Q60" i="11"/>
  <c r="P60" i="11"/>
  <c r="Q49" i="11"/>
  <c r="P49" i="11"/>
  <c r="Z54" i="11"/>
  <c r="Y54" i="11"/>
  <c r="W59" i="11"/>
  <c r="V59" i="11"/>
  <c r="Q47" i="11"/>
  <c r="P47" i="11"/>
  <c r="M59" i="11"/>
  <c r="N59" i="11"/>
  <c r="K45" i="11"/>
  <c r="N46" i="11"/>
  <c r="M46" i="11"/>
  <c r="J57" i="11"/>
  <c r="K57" i="11"/>
  <c r="N54" i="11"/>
  <c r="M54" i="11"/>
  <c r="M57" i="11"/>
  <c r="N57" i="11"/>
  <c r="Y60" i="11"/>
  <c r="P46" i="11"/>
  <c r="S62" i="11"/>
  <c r="T46" i="11"/>
  <c r="S46" i="11"/>
  <c r="M49" i="11"/>
  <c r="N49" i="11"/>
  <c r="N39" i="11"/>
  <c r="M39" i="11"/>
  <c r="J39" i="11"/>
  <c r="K39" i="11"/>
  <c r="Y37" i="11"/>
  <c r="Z37" i="11"/>
  <c r="Y34" i="11"/>
  <c r="M53" i="11"/>
  <c r="N53" i="11"/>
  <c r="K49" i="11"/>
  <c r="J49" i="11"/>
  <c r="W43" i="11"/>
  <c r="V43" i="11"/>
  <c r="Y53" i="11"/>
  <c r="Z53" i="11"/>
  <c r="T49" i="11"/>
  <c r="S49" i="11"/>
  <c r="K37" i="11"/>
  <c r="J37" i="11"/>
  <c r="N37" i="11"/>
  <c r="E72" i="11" s="1"/>
  <c r="M37" i="11"/>
  <c r="V61" i="11"/>
  <c r="W61" i="11"/>
  <c r="T43" i="11"/>
  <c r="S43" i="11"/>
  <c r="N45" i="11"/>
  <c r="N61" i="11"/>
  <c r="M61" i="11"/>
  <c r="E80" i="11"/>
  <c r="E83" i="11"/>
  <c r="E81" i="11"/>
  <c r="E74" i="11"/>
  <c r="E77" i="11"/>
  <c r="E79" i="11"/>
  <c r="E75" i="11"/>
  <c r="E78" i="11"/>
  <c r="E70" i="11"/>
  <c r="S34" i="11"/>
  <c r="E71" i="11"/>
  <c r="Q34" i="11" l="1"/>
  <c r="N34" i="11"/>
  <c r="E100" i="11" s="1"/>
  <c r="M34" i="11"/>
  <c r="E86" i="11"/>
  <c r="I86" i="11" s="1"/>
  <c r="E150" i="11"/>
  <c r="G150" i="11" s="1"/>
  <c r="E165" i="11"/>
  <c r="I165" i="11" s="1"/>
  <c r="E175" i="11"/>
  <c r="G175" i="11" s="1"/>
  <c r="E155" i="11"/>
  <c r="F155" i="11" s="1"/>
  <c r="E176" i="11"/>
  <c r="L176" i="11" s="1"/>
  <c r="E99" i="11"/>
  <c r="E85" i="11"/>
  <c r="E163" i="11"/>
  <c r="E159" i="11"/>
  <c r="E168" i="11"/>
  <c r="E172" i="11"/>
  <c r="E143" i="11"/>
  <c r="E145" i="11"/>
  <c r="E133" i="11"/>
  <c r="E146" i="11"/>
  <c r="E134" i="11"/>
  <c r="E141" i="11"/>
  <c r="E135" i="11"/>
  <c r="E136" i="11"/>
  <c r="E147" i="11"/>
  <c r="E138" i="11"/>
  <c r="E132" i="11"/>
  <c r="E142" i="11"/>
  <c r="E144" i="11"/>
  <c r="E139" i="11"/>
  <c r="E137" i="11"/>
  <c r="E140" i="11"/>
  <c r="E90" i="11"/>
  <c r="E158" i="11"/>
  <c r="E88" i="11"/>
  <c r="E98" i="11"/>
  <c r="E161" i="11"/>
  <c r="E152" i="11"/>
  <c r="E112" i="11"/>
  <c r="E166" i="11"/>
  <c r="E177" i="11"/>
  <c r="E96" i="11"/>
  <c r="E89" i="11"/>
  <c r="E156" i="11"/>
  <c r="E148" i="11"/>
  <c r="E164" i="11"/>
  <c r="E171" i="11"/>
  <c r="E117" i="11"/>
  <c r="E119" i="11"/>
  <c r="E116" i="11"/>
  <c r="E127" i="11"/>
  <c r="E118" i="11"/>
  <c r="E131" i="11"/>
  <c r="E121" i="11"/>
  <c r="E120" i="11"/>
  <c r="E123" i="11"/>
  <c r="E128" i="11"/>
  <c r="E125" i="11"/>
  <c r="E124" i="11"/>
  <c r="E126" i="11"/>
  <c r="E122" i="11"/>
  <c r="E130" i="11"/>
  <c r="E129" i="11"/>
  <c r="E84" i="11"/>
  <c r="E95" i="11"/>
  <c r="E162" i="11"/>
  <c r="E153" i="11"/>
  <c r="E173" i="11"/>
  <c r="E174" i="11"/>
  <c r="E93" i="11"/>
  <c r="E94" i="11"/>
  <c r="E91" i="11"/>
  <c r="E157" i="11"/>
  <c r="E151" i="11"/>
  <c r="E179" i="11"/>
  <c r="E167" i="11"/>
  <c r="E97" i="11"/>
  <c r="E92" i="11"/>
  <c r="E154" i="11"/>
  <c r="E160" i="11"/>
  <c r="E106" i="11"/>
  <c r="E170" i="11"/>
  <c r="E178" i="11"/>
  <c r="E87" i="11"/>
  <c r="E149" i="11"/>
  <c r="E169" i="11"/>
  <c r="K74" i="11"/>
  <c r="L74" i="11"/>
  <c r="K77" i="11"/>
  <c r="L77" i="11"/>
  <c r="K81" i="11"/>
  <c r="L81" i="11"/>
  <c r="K83" i="11"/>
  <c r="L83" i="11"/>
  <c r="K80" i="11"/>
  <c r="L80" i="11"/>
  <c r="K78" i="11"/>
  <c r="L78" i="11"/>
  <c r="K70" i="11"/>
  <c r="L70" i="11"/>
  <c r="K69" i="11"/>
  <c r="L69" i="11"/>
  <c r="K72" i="11"/>
  <c r="L72" i="11"/>
  <c r="K75" i="11"/>
  <c r="L75" i="11"/>
  <c r="L71" i="11"/>
  <c r="K71" i="11"/>
  <c r="K79" i="11"/>
  <c r="L79" i="11"/>
  <c r="L68" i="11"/>
  <c r="K68" i="11"/>
  <c r="I83" i="11"/>
  <c r="H81" i="11"/>
  <c r="H80" i="11"/>
  <c r="H79" i="11"/>
  <c r="I68" i="11"/>
  <c r="G83" i="11"/>
  <c r="F81" i="11"/>
  <c r="H83" i="11"/>
  <c r="F83" i="11"/>
  <c r="I80" i="11"/>
  <c r="G80" i="11"/>
  <c r="F80" i="11"/>
  <c r="F79" i="11"/>
  <c r="I79" i="11"/>
  <c r="G75" i="11"/>
  <c r="I75" i="11"/>
  <c r="H75" i="11"/>
  <c r="F75" i="11"/>
  <c r="G79" i="11"/>
  <c r="H72" i="11"/>
  <c r="G72" i="11"/>
  <c r="F72" i="11"/>
  <c r="I72" i="11"/>
  <c r="I81" i="11"/>
  <c r="E73" i="11"/>
  <c r="G81" i="11"/>
  <c r="E76" i="11"/>
  <c r="E82" i="11"/>
  <c r="G74" i="11"/>
  <c r="F74" i="11"/>
  <c r="I74" i="11"/>
  <c r="H74" i="11"/>
  <c r="F77" i="11"/>
  <c r="G77" i="11"/>
  <c r="I77" i="11"/>
  <c r="H77" i="11"/>
  <c r="G68" i="11"/>
  <c r="H68" i="11"/>
  <c r="I78" i="11"/>
  <c r="H78" i="11"/>
  <c r="G78" i="11"/>
  <c r="F78" i="11"/>
  <c r="F70" i="11"/>
  <c r="H70" i="11"/>
  <c r="I70" i="11"/>
  <c r="G70" i="11"/>
  <c r="F69" i="11"/>
  <c r="G69" i="11"/>
  <c r="H69" i="11"/>
  <c r="I69" i="11"/>
  <c r="F71" i="11"/>
  <c r="H71" i="11"/>
  <c r="I71" i="11"/>
  <c r="G71" i="11"/>
  <c r="E102" i="11" l="1"/>
  <c r="E111" i="11"/>
  <c r="E109" i="11"/>
  <c r="H109" i="11" s="1"/>
  <c r="E104" i="11"/>
  <c r="I104" i="11" s="1"/>
  <c r="E101" i="11"/>
  <c r="L101" i="11" s="1"/>
  <c r="E115" i="11"/>
  <c r="H115" i="11" s="1"/>
  <c r="E113" i="11"/>
  <c r="I113" i="11" s="1"/>
  <c r="E108" i="11"/>
  <c r="G108" i="11" s="1"/>
  <c r="E105" i="11"/>
  <c r="L105" i="11" s="1"/>
  <c r="E114" i="11"/>
  <c r="L114" i="11" s="1"/>
  <c r="E110" i="11"/>
  <c r="G110" i="11" s="1"/>
  <c r="E103" i="11"/>
  <c r="F103" i="11" s="1"/>
  <c r="E107" i="11"/>
  <c r="F107" i="11" s="1"/>
  <c r="J68" i="11"/>
  <c r="X68" i="11" s="1"/>
  <c r="H150" i="11"/>
  <c r="G86" i="11"/>
  <c r="K86" i="11"/>
  <c r="H86" i="11"/>
  <c r="L86" i="11"/>
  <c r="H165" i="11"/>
  <c r="L165" i="11"/>
  <c r="K165" i="11"/>
  <c r="F86" i="11"/>
  <c r="G155" i="11"/>
  <c r="L155" i="11"/>
  <c r="F165" i="11"/>
  <c r="G165" i="11"/>
  <c r="K176" i="11"/>
  <c r="L150" i="11"/>
  <c r="L175" i="11"/>
  <c r="K175" i="11"/>
  <c r="F175" i="11"/>
  <c r="H155" i="11"/>
  <c r="I175" i="11"/>
  <c r="I155" i="11"/>
  <c r="H175" i="11"/>
  <c r="K155" i="11"/>
  <c r="F150" i="11"/>
  <c r="K150" i="11"/>
  <c r="F176" i="11"/>
  <c r="I150" i="11"/>
  <c r="I176" i="11"/>
  <c r="G176" i="11"/>
  <c r="H176" i="11"/>
  <c r="F117" i="11"/>
  <c r="G117" i="11"/>
  <c r="I117" i="11"/>
  <c r="H117" i="11"/>
  <c r="K117" i="11"/>
  <c r="L117" i="11"/>
  <c r="K112" i="11"/>
  <c r="L112" i="11"/>
  <c r="I112" i="11"/>
  <c r="H112" i="11"/>
  <c r="G112" i="11"/>
  <c r="F112" i="11"/>
  <c r="F137" i="11"/>
  <c r="K137" i="11"/>
  <c r="G137" i="11"/>
  <c r="L137" i="11"/>
  <c r="H137" i="11"/>
  <c r="I137" i="11"/>
  <c r="H149" i="11"/>
  <c r="F149" i="11"/>
  <c r="K149" i="11"/>
  <c r="I149" i="11"/>
  <c r="L149" i="11"/>
  <c r="G149" i="11"/>
  <c r="K92" i="11"/>
  <c r="L92" i="11"/>
  <c r="F92" i="11"/>
  <c r="I92" i="11"/>
  <c r="H92" i="11"/>
  <c r="G92" i="11"/>
  <c r="F91" i="11"/>
  <c r="I91" i="11"/>
  <c r="L91" i="11"/>
  <c r="K91" i="11"/>
  <c r="H91" i="11"/>
  <c r="G91" i="11"/>
  <c r="K162" i="11"/>
  <c r="G162" i="11"/>
  <c r="F162" i="11"/>
  <c r="H162" i="11"/>
  <c r="L162" i="11"/>
  <c r="I162" i="11"/>
  <c r="F125" i="11"/>
  <c r="K125" i="11"/>
  <c r="L125" i="11"/>
  <c r="I125" i="11"/>
  <c r="H125" i="11"/>
  <c r="G125" i="11"/>
  <c r="L116" i="11"/>
  <c r="H116" i="11"/>
  <c r="G116" i="11"/>
  <c r="I116" i="11"/>
  <c r="K116" i="11"/>
  <c r="F116" i="11"/>
  <c r="K96" i="11"/>
  <c r="L96" i="11"/>
  <c r="G96" i="11"/>
  <c r="F96" i="11"/>
  <c r="I96" i="11"/>
  <c r="H96" i="11"/>
  <c r="L166" i="11"/>
  <c r="H166" i="11"/>
  <c r="G166" i="11"/>
  <c r="F166" i="11"/>
  <c r="I166" i="11"/>
  <c r="K166" i="11"/>
  <c r="K90" i="11"/>
  <c r="L90" i="11"/>
  <c r="G90" i="11"/>
  <c r="F90" i="11"/>
  <c r="H90" i="11"/>
  <c r="I90" i="11"/>
  <c r="G147" i="11"/>
  <c r="H147" i="11"/>
  <c r="K147" i="11"/>
  <c r="L147" i="11"/>
  <c r="I147" i="11"/>
  <c r="F147" i="11"/>
  <c r="K143" i="11"/>
  <c r="I143" i="11"/>
  <c r="L143" i="11"/>
  <c r="H143" i="11"/>
  <c r="F143" i="11"/>
  <c r="G143" i="11"/>
  <c r="L99" i="11"/>
  <c r="H99" i="11"/>
  <c r="I99" i="11"/>
  <c r="K99" i="11"/>
  <c r="G99" i="11"/>
  <c r="F99" i="11"/>
  <c r="K84" i="11"/>
  <c r="L84" i="11"/>
  <c r="G84" i="11"/>
  <c r="H84" i="11"/>
  <c r="F84" i="11"/>
  <c r="I84" i="11"/>
  <c r="K135" i="11"/>
  <c r="L135" i="11"/>
  <c r="H135" i="11"/>
  <c r="G135" i="11"/>
  <c r="F135" i="11"/>
  <c r="I135" i="11"/>
  <c r="K87" i="11"/>
  <c r="F87" i="11"/>
  <c r="I87" i="11"/>
  <c r="G87" i="11"/>
  <c r="L87" i="11"/>
  <c r="H87" i="11"/>
  <c r="K97" i="11"/>
  <c r="G97" i="11"/>
  <c r="I97" i="11"/>
  <c r="L97" i="11"/>
  <c r="F97" i="11"/>
  <c r="H97" i="11"/>
  <c r="K94" i="11"/>
  <c r="I94" i="11"/>
  <c r="F94" i="11"/>
  <c r="H94" i="11"/>
  <c r="L94" i="11"/>
  <c r="G94" i="11"/>
  <c r="K95" i="11"/>
  <c r="F95" i="11"/>
  <c r="L95" i="11"/>
  <c r="I95" i="11"/>
  <c r="G95" i="11"/>
  <c r="H95" i="11"/>
  <c r="K128" i="11"/>
  <c r="F128" i="11"/>
  <c r="G128" i="11"/>
  <c r="L128" i="11"/>
  <c r="I128" i="11"/>
  <c r="H128" i="11"/>
  <c r="K119" i="11"/>
  <c r="G119" i="11"/>
  <c r="L119" i="11"/>
  <c r="I119" i="11"/>
  <c r="F119" i="11"/>
  <c r="H119" i="11"/>
  <c r="K171" i="11"/>
  <c r="H171" i="11"/>
  <c r="F171" i="11"/>
  <c r="G171" i="11"/>
  <c r="I171" i="11"/>
  <c r="L171" i="11"/>
  <c r="G140" i="11"/>
  <c r="H140" i="11"/>
  <c r="K140" i="11"/>
  <c r="F140" i="11"/>
  <c r="I140" i="11"/>
  <c r="L140" i="11"/>
  <c r="F136" i="11"/>
  <c r="L136" i="11"/>
  <c r="G136" i="11"/>
  <c r="H136" i="11"/>
  <c r="K136" i="11"/>
  <c r="I136" i="11"/>
  <c r="L172" i="11"/>
  <c r="F172" i="11"/>
  <c r="I172" i="11"/>
  <c r="G172" i="11"/>
  <c r="K172" i="11"/>
  <c r="H172" i="11"/>
  <c r="K100" i="11"/>
  <c r="F100" i="11"/>
  <c r="L100" i="11"/>
  <c r="I100" i="11"/>
  <c r="H100" i="11"/>
  <c r="G100" i="11"/>
  <c r="K170" i="11"/>
  <c r="I170" i="11"/>
  <c r="H170" i="11"/>
  <c r="F170" i="11"/>
  <c r="G170" i="11"/>
  <c r="L170" i="11"/>
  <c r="K179" i="11"/>
  <c r="F179" i="11"/>
  <c r="G179" i="11"/>
  <c r="H179" i="11"/>
  <c r="L179" i="11"/>
  <c r="I179" i="11"/>
  <c r="L174" i="11"/>
  <c r="I174" i="11"/>
  <c r="G174" i="11"/>
  <c r="H174" i="11"/>
  <c r="F174" i="11"/>
  <c r="K174" i="11"/>
  <c r="G129" i="11"/>
  <c r="K129" i="11"/>
  <c r="L129" i="11"/>
  <c r="H129" i="11"/>
  <c r="I129" i="11"/>
  <c r="F129" i="11"/>
  <c r="L120" i="11"/>
  <c r="I120" i="11"/>
  <c r="F120" i="11"/>
  <c r="H120" i="11"/>
  <c r="G120" i="11"/>
  <c r="K120" i="11"/>
  <c r="F152" i="11"/>
  <c r="H152" i="11"/>
  <c r="K152" i="11"/>
  <c r="I152" i="11"/>
  <c r="L152" i="11"/>
  <c r="G152" i="11"/>
  <c r="L139" i="11"/>
  <c r="F139" i="11"/>
  <c r="I139" i="11"/>
  <c r="G139" i="11"/>
  <c r="K139" i="11"/>
  <c r="H139" i="11"/>
  <c r="G141" i="11"/>
  <c r="K141" i="11"/>
  <c r="I141" i="11"/>
  <c r="L141" i="11"/>
  <c r="H141" i="11"/>
  <c r="F141" i="11"/>
  <c r="K111" i="11"/>
  <c r="H111" i="11"/>
  <c r="G111" i="11"/>
  <c r="L111" i="11"/>
  <c r="I111" i="11"/>
  <c r="F111" i="11"/>
  <c r="K178" i="11"/>
  <c r="H178" i="11"/>
  <c r="L178" i="11"/>
  <c r="G178" i="11"/>
  <c r="I178" i="11"/>
  <c r="F178" i="11"/>
  <c r="K173" i="11"/>
  <c r="F173" i="11"/>
  <c r="L173" i="11"/>
  <c r="H173" i="11"/>
  <c r="I173" i="11"/>
  <c r="G173" i="11"/>
  <c r="K130" i="11"/>
  <c r="F130" i="11"/>
  <c r="L130" i="11"/>
  <c r="I130" i="11"/>
  <c r="H130" i="11"/>
  <c r="G130" i="11"/>
  <c r="K121" i="11"/>
  <c r="F121" i="11"/>
  <c r="L121" i="11"/>
  <c r="G121" i="11"/>
  <c r="I121" i="11"/>
  <c r="H121" i="11"/>
  <c r="G102" i="11"/>
  <c r="I102" i="11"/>
  <c r="K102" i="11"/>
  <c r="F102" i="11"/>
  <c r="L102" i="11"/>
  <c r="H102" i="11"/>
  <c r="F161" i="11"/>
  <c r="H161" i="11"/>
  <c r="G161" i="11"/>
  <c r="K161" i="11"/>
  <c r="L161" i="11"/>
  <c r="I161" i="11"/>
  <c r="K144" i="11"/>
  <c r="F144" i="11"/>
  <c r="L144" i="11"/>
  <c r="I144" i="11"/>
  <c r="G144" i="11"/>
  <c r="H144" i="11"/>
  <c r="G134" i="11"/>
  <c r="I134" i="11"/>
  <c r="H134" i="11"/>
  <c r="K134" i="11"/>
  <c r="L134" i="11"/>
  <c r="F134" i="11"/>
  <c r="G123" i="11"/>
  <c r="I123" i="11"/>
  <c r="K123" i="11"/>
  <c r="H123" i="11"/>
  <c r="L123" i="11"/>
  <c r="F123" i="11"/>
  <c r="I169" i="11"/>
  <c r="G169" i="11"/>
  <c r="F169" i="11"/>
  <c r="L169" i="11"/>
  <c r="H169" i="11"/>
  <c r="K169" i="11"/>
  <c r="K106" i="11"/>
  <c r="I106" i="11"/>
  <c r="H106" i="11"/>
  <c r="L106" i="11"/>
  <c r="G106" i="11"/>
  <c r="F106" i="11"/>
  <c r="K122" i="11"/>
  <c r="L122" i="11"/>
  <c r="F122" i="11"/>
  <c r="G122" i="11"/>
  <c r="H122" i="11"/>
  <c r="I122" i="11"/>
  <c r="G131" i="11"/>
  <c r="I131" i="11"/>
  <c r="H131" i="11"/>
  <c r="K131" i="11"/>
  <c r="L131" i="11"/>
  <c r="F131" i="11"/>
  <c r="L148" i="11"/>
  <c r="I148" i="11"/>
  <c r="G148" i="11"/>
  <c r="F148" i="11"/>
  <c r="H148" i="11"/>
  <c r="K148" i="11"/>
  <c r="K98" i="11"/>
  <c r="I98" i="11"/>
  <c r="H98" i="11"/>
  <c r="G98" i="11"/>
  <c r="F98" i="11"/>
  <c r="L98" i="11"/>
  <c r="L142" i="11"/>
  <c r="G142" i="11"/>
  <c r="I142" i="11"/>
  <c r="H142" i="11"/>
  <c r="F142" i="11"/>
  <c r="K142" i="11"/>
  <c r="K146" i="11"/>
  <c r="L146" i="11"/>
  <c r="H146" i="11"/>
  <c r="G146" i="11"/>
  <c r="F146" i="11"/>
  <c r="I146" i="11"/>
  <c r="K159" i="11"/>
  <c r="I159" i="11"/>
  <c r="L159" i="11"/>
  <c r="G159" i="11"/>
  <c r="F159" i="11"/>
  <c r="H159" i="11"/>
  <c r="K167" i="11"/>
  <c r="H167" i="11"/>
  <c r="F167" i="11"/>
  <c r="L167" i="11"/>
  <c r="G167" i="11"/>
  <c r="I167" i="11"/>
  <c r="G164" i="11"/>
  <c r="H164" i="11"/>
  <c r="F164" i="11"/>
  <c r="I164" i="11"/>
  <c r="K164" i="11"/>
  <c r="L164" i="11"/>
  <c r="G160" i="11"/>
  <c r="F160" i="11"/>
  <c r="K160" i="11"/>
  <c r="I160" i="11"/>
  <c r="L160" i="11"/>
  <c r="H160" i="11"/>
  <c r="K151" i="11"/>
  <c r="L151" i="11"/>
  <c r="F151" i="11"/>
  <c r="H151" i="11"/>
  <c r="I151" i="11"/>
  <c r="G151" i="11"/>
  <c r="L126" i="11"/>
  <c r="F126" i="11"/>
  <c r="I126" i="11"/>
  <c r="H126" i="11"/>
  <c r="K126" i="11"/>
  <c r="G126" i="11"/>
  <c r="L118" i="11"/>
  <c r="I118" i="11"/>
  <c r="H118" i="11"/>
  <c r="K118" i="11"/>
  <c r="F118" i="11"/>
  <c r="G118" i="11"/>
  <c r="G156" i="11"/>
  <c r="K156" i="11"/>
  <c r="H156" i="11"/>
  <c r="L156" i="11"/>
  <c r="F156" i="11"/>
  <c r="I156" i="11"/>
  <c r="K88" i="11"/>
  <c r="I88" i="11"/>
  <c r="L88" i="11"/>
  <c r="H88" i="11"/>
  <c r="F88" i="11"/>
  <c r="G88" i="11"/>
  <c r="K132" i="11"/>
  <c r="G132" i="11"/>
  <c r="L132" i="11"/>
  <c r="H132" i="11"/>
  <c r="I132" i="11"/>
  <c r="F132" i="11"/>
  <c r="G133" i="11"/>
  <c r="F133" i="11"/>
  <c r="H133" i="11"/>
  <c r="K133" i="11"/>
  <c r="L133" i="11"/>
  <c r="I133" i="11"/>
  <c r="H163" i="11"/>
  <c r="F163" i="11"/>
  <c r="K163" i="11"/>
  <c r="G163" i="11"/>
  <c r="L163" i="11"/>
  <c r="I163" i="11"/>
  <c r="F93" i="11"/>
  <c r="H93" i="11"/>
  <c r="I93" i="11"/>
  <c r="G93" i="11"/>
  <c r="L93" i="11"/>
  <c r="K93" i="11"/>
  <c r="L168" i="11"/>
  <c r="F168" i="11"/>
  <c r="I168" i="11"/>
  <c r="H168" i="11"/>
  <c r="K168" i="11"/>
  <c r="G168" i="11"/>
  <c r="K154" i="11"/>
  <c r="I154" i="11"/>
  <c r="G154" i="11"/>
  <c r="F154" i="11"/>
  <c r="H154" i="11"/>
  <c r="L154" i="11"/>
  <c r="I157" i="11"/>
  <c r="G157" i="11"/>
  <c r="K157" i="11"/>
  <c r="L157" i="11"/>
  <c r="H157" i="11"/>
  <c r="F157" i="11"/>
  <c r="F153" i="11"/>
  <c r="L153" i="11"/>
  <c r="K153" i="11"/>
  <c r="H153" i="11"/>
  <c r="G153" i="11"/>
  <c r="I153" i="11"/>
  <c r="K124" i="11"/>
  <c r="L124" i="11"/>
  <c r="G124" i="11"/>
  <c r="F124" i="11"/>
  <c r="H124" i="11"/>
  <c r="I124" i="11"/>
  <c r="K127" i="11"/>
  <c r="I127" i="11"/>
  <c r="L127" i="11"/>
  <c r="G127" i="11"/>
  <c r="H127" i="11"/>
  <c r="F127" i="11"/>
  <c r="L89" i="11"/>
  <c r="F89" i="11"/>
  <c r="I89" i="11"/>
  <c r="G89" i="11"/>
  <c r="H89" i="11"/>
  <c r="K89" i="11"/>
  <c r="K177" i="11"/>
  <c r="H177" i="11"/>
  <c r="L177" i="11"/>
  <c r="F177" i="11"/>
  <c r="G177" i="11"/>
  <c r="I177" i="11"/>
  <c r="L158" i="11"/>
  <c r="G158" i="11"/>
  <c r="I158" i="11"/>
  <c r="F158" i="11"/>
  <c r="K158" i="11"/>
  <c r="H158" i="11"/>
  <c r="K138" i="11"/>
  <c r="L138" i="11"/>
  <c r="I138" i="11"/>
  <c r="H138" i="11"/>
  <c r="G138" i="11"/>
  <c r="F138" i="11"/>
  <c r="K145" i="11"/>
  <c r="L145" i="11"/>
  <c r="G145" i="11"/>
  <c r="F145" i="11"/>
  <c r="H145" i="11"/>
  <c r="I145" i="11"/>
  <c r="H85" i="11"/>
  <c r="F85" i="11"/>
  <c r="K85" i="11"/>
  <c r="G85" i="11"/>
  <c r="L85" i="11"/>
  <c r="I85" i="11"/>
  <c r="K82" i="11"/>
  <c r="L82" i="11"/>
  <c r="K76" i="11"/>
  <c r="L76" i="11"/>
  <c r="K73" i="11"/>
  <c r="L73" i="11"/>
  <c r="M83" i="11"/>
  <c r="P83" i="11" s="1"/>
  <c r="J83" i="11"/>
  <c r="M80" i="11"/>
  <c r="P80" i="11" s="1"/>
  <c r="J79" i="11"/>
  <c r="J80" i="11"/>
  <c r="M81" i="11"/>
  <c r="P81" i="11" s="1"/>
  <c r="J81" i="11"/>
  <c r="J75" i="11"/>
  <c r="M79" i="11"/>
  <c r="P79" i="11" s="1"/>
  <c r="M72" i="11"/>
  <c r="P72" i="11" s="1"/>
  <c r="J72" i="11"/>
  <c r="M75" i="11"/>
  <c r="P75" i="11" s="1"/>
  <c r="G76" i="11"/>
  <c r="F76" i="11"/>
  <c r="H76" i="11"/>
  <c r="I76" i="11"/>
  <c r="I73" i="11"/>
  <c r="F73" i="11"/>
  <c r="G73" i="11"/>
  <c r="H73" i="11"/>
  <c r="M78" i="11"/>
  <c r="P78" i="11" s="1"/>
  <c r="M68" i="11"/>
  <c r="P68" i="11" s="1"/>
  <c r="F82" i="11"/>
  <c r="I82" i="11"/>
  <c r="G82" i="11"/>
  <c r="H82" i="11"/>
  <c r="J74" i="11"/>
  <c r="M77" i="11"/>
  <c r="P77" i="11" s="1"/>
  <c r="M74" i="11"/>
  <c r="P74" i="11" s="1"/>
  <c r="J78" i="11"/>
  <c r="J77" i="11"/>
  <c r="J71" i="11"/>
  <c r="J69" i="11"/>
  <c r="M70" i="11"/>
  <c r="P70" i="11" s="1"/>
  <c r="M71" i="11"/>
  <c r="P71" i="11" s="1"/>
  <c r="M69" i="11"/>
  <c r="P69" i="11" s="1"/>
  <c r="J70" i="11"/>
  <c r="L115" i="11" l="1"/>
  <c r="F104" i="11"/>
  <c r="G104" i="11"/>
  <c r="I109" i="11"/>
  <c r="F109" i="11"/>
  <c r="L109" i="11"/>
  <c r="K109" i="11"/>
  <c r="G109" i="11"/>
  <c r="H104" i="11"/>
  <c r="L104" i="11"/>
  <c r="K104" i="11"/>
  <c r="I101" i="11"/>
  <c r="I115" i="11"/>
  <c r="K101" i="11"/>
  <c r="H101" i="11"/>
  <c r="G101" i="11"/>
  <c r="F101" i="11"/>
  <c r="F113" i="11"/>
  <c r="G113" i="11"/>
  <c r="H113" i="11"/>
  <c r="K115" i="11"/>
  <c r="L113" i="11"/>
  <c r="K113" i="11"/>
  <c r="F115" i="11"/>
  <c r="G115" i="11"/>
  <c r="I108" i="11"/>
  <c r="L108" i="11"/>
  <c r="F108" i="11"/>
  <c r="H108" i="11"/>
  <c r="K108" i="11"/>
  <c r="F114" i="11"/>
  <c r="I114" i="11"/>
  <c r="K114" i="11"/>
  <c r="L110" i="11"/>
  <c r="I103" i="11"/>
  <c r="L103" i="11"/>
  <c r="G103" i="11"/>
  <c r="K103" i="11"/>
  <c r="K110" i="11"/>
  <c r="H110" i="11"/>
  <c r="G114" i="11"/>
  <c r="F110" i="11"/>
  <c r="H114" i="11"/>
  <c r="I110" i="11"/>
  <c r="I105" i="11"/>
  <c r="N77" i="11"/>
  <c r="Q77" i="11" s="1"/>
  <c r="R77" i="11" s="1"/>
  <c r="S77" i="11" s="1"/>
  <c r="X77" i="11"/>
  <c r="N81" i="11"/>
  <c r="Q81" i="11" s="1"/>
  <c r="R81" i="11" s="1"/>
  <c r="S81" i="11" s="1"/>
  <c r="X81" i="11"/>
  <c r="N80" i="11"/>
  <c r="Q80" i="11" s="1"/>
  <c r="R80" i="11" s="1"/>
  <c r="S80" i="11" s="1"/>
  <c r="X80" i="11"/>
  <c r="N79" i="11"/>
  <c r="Q79" i="11" s="1"/>
  <c r="R79" i="11" s="1"/>
  <c r="S79" i="11" s="1"/>
  <c r="X79" i="11"/>
  <c r="N74" i="11"/>
  <c r="Q74" i="11" s="1"/>
  <c r="R74" i="11" s="1"/>
  <c r="S74" i="11" s="1"/>
  <c r="X74" i="11"/>
  <c r="N72" i="11"/>
  <c r="Q72" i="11" s="1"/>
  <c r="R72" i="11" s="1"/>
  <c r="S72" i="11" s="1"/>
  <c r="X72" i="11"/>
  <c r="N83" i="11"/>
  <c r="Q83" i="11" s="1"/>
  <c r="R83" i="11" s="1"/>
  <c r="S83" i="11" s="1"/>
  <c r="T83" i="11" s="1"/>
  <c r="Z83" i="11" s="1"/>
  <c r="X83" i="11"/>
  <c r="N78" i="11"/>
  <c r="Q78" i="11" s="1"/>
  <c r="X78" i="11"/>
  <c r="N70" i="11"/>
  <c r="Q70" i="11" s="1"/>
  <c r="R70" i="11" s="1"/>
  <c r="S70" i="11" s="1"/>
  <c r="X70" i="11"/>
  <c r="N69" i="11"/>
  <c r="Q69" i="11" s="1"/>
  <c r="X69" i="11"/>
  <c r="N71" i="11"/>
  <c r="Q71" i="11" s="1"/>
  <c r="R71" i="11" s="1"/>
  <c r="S71" i="11" s="1"/>
  <c r="X71" i="11"/>
  <c r="N75" i="11"/>
  <c r="Q75" i="11" s="1"/>
  <c r="R75" i="11" s="1"/>
  <c r="S75" i="11" s="1"/>
  <c r="X75" i="11"/>
  <c r="N68" i="11"/>
  <c r="Q68" i="11" s="1"/>
  <c r="R68" i="11" s="1"/>
  <c r="F105" i="11"/>
  <c r="H105" i="11"/>
  <c r="K105" i="11"/>
  <c r="G105" i="11"/>
  <c r="O68" i="11"/>
  <c r="O70" i="11"/>
  <c r="O83" i="11"/>
  <c r="O72" i="11"/>
  <c r="O79" i="11"/>
  <c r="O81" i="11"/>
  <c r="O74" i="11"/>
  <c r="O71" i="11"/>
  <c r="O80" i="11"/>
  <c r="O78" i="11"/>
  <c r="O69" i="11"/>
  <c r="O77" i="11"/>
  <c r="O75" i="11"/>
  <c r="H107" i="11"/>
  <c r="K107" i="11"/>
  <c r="G107" i="11"/>
  <c r="L107" i="11"/>
  <c r="H103" i="11"/>
  <c r="I107" i="11"/>
  <c r="J165" i="11"/>
  <c r="M86" i="11"/>
  <c r="P86" i="11" s="1"/>
  <c r="J86" i="11"/>
  <c r="M155" i="11"/>
  <c r="P155" i="11" s="1"/>
  <c r="M165" i="11"/>
  <c r="J150" i="11"/>
  <c r="M175" i="11"/>
  <c r="P175" i="11" s="1"/>
  <c r="M150" i="11"/>
  <c r="P150" i="11" s="1"/>
  <c r="J155" i="11"/>
  <c r="J175" i="11"/>
  <c r="J176" i="11"/>
  <c r="M176" i="11"/>
  <c r="P176" i="11" s="1"/>
  <c r="J167" i="11"/>
  <c r="M159" i="11"/>
  <c r="P159" i="11" s="1"/>
  <c r="M179" i="11"/>
  <c r="P179" i="11" s="1"/>
  <c r="M143" i="11"/>
  <c r="P143" i="11" s="1"/>
  <c r="M96" i="11"/>
  <c r="P96" i="11" s="1"/>
  <c r="M112" i="11"/>
  <c r="P112" i="11" s="1"/>
  <c r="J87" i="11"/>
  <c r="M127" i="11"/>
  <c r="P127" i="11" s="1"/>
  <c r="M154" i="11"/>
  <c r="P154" i="11" s="1"/>
  <c r="J88" i="11"/>
  <c r="M169" i="11"/>
  <c r="P169" i="11" s="1"/>
  <c r="J123" i="11"/>
  <c r="J141" i="11"/>
  <c r="J158" i="11"/>
  <c r="J168" i="11"/>
  <c r="M167" i="11"/>
  <c r="P167" i="11" s="1"/>
  <c r="J169" i="11"/>
  <c r="M123" i="11"/>
  <c r="P123" i="11" s="1"/>
  <c r="M120" i="11"/>
  <c r="P120" i="11" s="1"/>
  <c r="J117" i="11"/>
  <c r="M138" i="11"/>
  <c r="P138" i="11" s="1"/>
  <c r="M168" i="11"/>
  <c r="P168" i="11" s="1"/>
  <c r="J128" i="11"/>
  <c r="J153" i="11"/>
  <c r="J93" i="11"/>
  <c r="J163" i="11"/>
  <c r="M126" i="11"/>
  <c r="P126" i="11" s="1"/>
  <c r="M151" i="11"/>
  <c r="P151" i="11" s="1"/>
  <c r="J142" i="11"/>
  <c r="J122" i="11"/>
  <c r="M102" i="11"/>
  <c r="P102" i="11" s="1"/>
  <c r="M121" i="11"/>
  <c r="P121" i="11" s="1"/>
  <c r="J129" i="11"/>
  <c r="J100" i="11"/>
  <c r="M119" i="11"/>
  <c r="P119" i="11" s="1"/>
  <c r="M97" i="11"/>
  <c r="P97" i="11" s="1"/>
  <c r="J99" i="11"/>
  <c r="J166" i="11"/>
  <c r="M137" i="11"/>
  <c r="P137" i="11" s="1"/>
  <c r="M144" i="11"/>
  <c r="P144" i="11" s="1"/>
  <c r="M128" i="11"/>
  <c r="P128" i="11" s="1"/>
  <c r="M87" i="11"/>
  <c r="P87" i="11" s="1"/>
  <c r="M106" i="11"/>
  <c r="P106" i="11" s="1"/>
  <c r="M130" i="11"/>
  <c r="P130" i="11" s="1"/>
  <c r="M178" i="11"/>
  <c r="P178" i="11" s="1"/>
  <c r="M99" i="11"/>
  <c r="P99" i="11" s="1"/>
  <c r="J96" i="11"/>
  <c r="M163" i="11"/>
  <c r="P163" i="11" s="1"/>
  <c r="J156" i="11"/>
  <c r="M164" i="11"/>
  <c r="P164" i="11" s="1"/>
  <c r="M142" i="11"/>
  <c r="P142" i="11" s="1"/>
  <c r="J134" i="11"/>
  <c r="J152" i="11"/>
  <c r="J174" i="11"/>
  <c r="M172" i="11"/>
  <c r="P172" i="11" s="1"/>
  <c r="J162" i="11"/>
  <c r="M157" i="11"/>
  <c r="P157" i="11" s="1"/>
  <c r="M156" i="11"/>
  <c r="P156" i="11" s="1"/>
  <c r="J98" i="11"/>
  <c r="J95" i="11"/>
  <c r="J94" i="11"/>
  <c r="J84" i="11"/>
  <c r="J90" i="11"/>
  <c r="J125" i="11"/>
  <c r="M85" i="11"/>
  <c r="P85" i="11" s="1"/>
  <c r="M145" i="11"/>
  <c r="P145" i="11" s="1"/>
  <c r="M158" i="11"/>
  <c r="P158" i="11" s="1"/>
  <c r="J124" i="11"/>
  <c r="M153" i="11"/>
  <c r="P153" i="11" s="1"/>
  <c r="J132" i="11"/>
  <c r="J126" i="11"/>
  <c r="J160" i="11"/>
  <c r="J164" i="11"/>
  <c r="X164" i="11" s="1"/>
  <c r="M98" i="11"/>
  <c r="P98" i="11" s="1"/>
  <c r="J144" i="11"/>
  <c r="M161" i="11"/>
  <c r="P161" i="11" s="1"/>
  <c r="J173" i="11"/>
  <c r="J171" i="11"/>
  <c r="M116" i="11"/>
  <c r="P116" i="11" s="1"/>
  <c r="M162" i="11"/>
  <c r="P162" i="11" s="1"/>
  <c r="J92" i="11"/>
  <c r="M149" i="11"/>
  <c r="P149" i="11" s="1"/>
  <c r="M117" i="11"/>
  <c r="P117" i="11" s="1"/>
  <c r="J177" i="11"/>
  <c r="M88" i="11"/>
  <c r="P88" i="11" s="1"/>
  <c r="J159" i="11"/>
  <c r="J130" i="11"/>
  <c r="M141" i="11"/>
  <c r="P141" i="11" s="1"/>
  <c r="J120" i="11"/>
  <c r="M129" i="11"/>
  <c r="P129" i="11" s="1"/>
  <c r="M171" i="11"/>
  <c r="P171" i="11" s="1"/>
  <c r="M94" i="11"/>
  <c r="P94" i="11" s="1"/>
  <c r="J135" i="11"/>
  <c r="M84" i="11"/>
  <c r="P84" i="11" s="1"/>
  <c r="M125" i="11"/>
  <c r="P125" i="11" s="1"/>
  <c r="J85" i="11"/>
  <c r="M177" i="11"/>
  <c r="P177" i="11" s="1"/>
  <c r="J127" i="11"/>
  <c r="J154" i="11"/>
  <c r="M133" i="11"/>
  <c r="P133" i="11" s="1"/>
  <c r="M118" i="11"/>
  <c r="P118" i="11" s="1"/>
  <c r="J146" i="11"/>
  <c r="M148" i="11"/>
  <c r="P148" i="11" s="1"/>
  <c r="M131" i="11"/>
  <c r="P131" i="11" s="1"/>
  <c r="J161" i="11"/>
  <c r="J121" i="11"/>
  <c r="J170" i="11"/>
  <c r="J119" i="11"/>
  <c r="J97" i="11"/>
  <c r="M147" i="11"/>
  <c r="P147" i="11" s="1"/>
  <c r="M90" i="11"/>
  <c r="P90" i="11" s="1"/>
  <c r="J91" i="11"/>
  <c r="J149" i="11"/>
  <c r="J138" i="11"/>
  <c r="M89" i="11"/>
  <c r="P89" i="11" s="1"/>
  <c r="M93" i="11"/>
  <c r="P93" i="11" s="1"/>
  <c r="J133" i="11"/>
  <c r="M132" i="11"/>
  <c r="P132" i="11" s="1"/>
  <c r="J118" i="11"/>
  <c r="M160" i="11"/>
  <c r="P160" i="11" s="1"/>
  <c r="J148" i="11"/>
  <c r="J131" i="11"/>
  <c r="M122" i="11"/>
  <c r="P122" i="11" s="1"/>
  <c r="J106" i="11"/>
  <c r="M173" i="11"/>
  <c r="P173" i="11" s="1"/>
  <c r="J111" i="11"/>
  <c r="J139" i="11"/>
  <c r="M174" i="11"/>
  <c r="P174" i="11" s="1"/>
  <c r="J179" i="11"/>
  <c r="M100" i="11"/>
  <c r="P100" i="11" s="1"/>
  <c r="M136" i="11"/>
  <c r="P136" i="11" s="1"/>
  <c r="M140" i="11"/>
  <c r="P140" i="11" s="1"/>
  <c r="M95" i="11"/>
  <c r="P95" i="11" s="1"/>
  <c r="M135" i="11"/>
  <c r="P135" i="11" s="1"/>
  <c r="J143" i="11"/>
  <c r="J147" i="11"/>
  <c r="M166" i="11"/>
  <c r="P166" i="11" s="1"/>
  <c r="J116" i="11"/>
  <c r="M91" i="11"/>
  <c r="P91" i="11" s="1"/>
  <c r="J112" i="11"/>
  <c r="J145" i="11"/>
  <c r="J89" i="11"/>
  <c r="M124" i="11"/>
  <c r="P124" i="11" s="1"/>
  <c r="J157" i="11"/>
  <c r="J151" i="11"/>
  <c r="M146" i="11"/>
  <c r="P146" i="11" s="1"/>
  <c r="M134" i="11"/>
  <c r="P134" i="11" s="1"/>
  <c r="J102" i="11"/>
  <c r="J178" i="11"/>
  <c r="M111" i="11"/>
  <c r="P111" i="11" s="1"/>
  <c r="M139" i="11"/>
  <c r="P139" i="11" s="1"/>
  <c r="M152" i="11"/>
  <c r="P152" i="11" s="1"/>
  <c r="M170" i="11"/>
  <c r="P170" i="11" s="1"/>
  <c r="J172" i="11"/>
  <c r="J136" i="11"/>
  <c r="J140" i="11"/>
  <c r="M92" i="11"/>
  <c r="P92" i="11" s="1"/>
  <c r="J137" i="11"/>
  <c r="V80" i="11"/>
  <c r="W80" i="11" s="1"/>
  <c r="V81" i="11"/>
  <c r="W81" i="11" s="1"/>
  <c r="V83" i="11"/>
  <c r="W83" i="11" s="1"/>
  <c r="V79" i="11"/>
  <c r="W79" i="11" s="1"/>
  <c r="V68" i="11"/>
  <c r="W68" i="11" s="1"/>
  <c r="V75" i="11"/>
  <c r="W75" i="11" s="1"/>
  <c r="V72" i="11"/>
  <c r="W72" i="11" s="1"/>
  <c r="M82" i="11"/>
  <c r="P82" i="11" s="1"/>
  <c r="M73" i="11"/>
  <c r="P73" i="11" s="1"/>
  <c r="J82" i="11"/>
  <c r="M76" i="11"/>
  <c r="P76" i="11" s="1"/>
  <c r="J73" i="11"/>
  <c r="V74" i="11"/>
  <c r="W74" i="11" s="1"/>
  <c r="J76" i="11"/>
  <c r="V78" i="11"/>
  <c r="W78" i="11" s="1"/>
  <c r="V77" i="11"/>
  <c r="W77" i="11" s="1"/>
  <c r="V69" i="11"/>
  <c r="W69" i="11" s="1"/>
  <c r="V70" i="11"/>
  <c r="W70" i="11" s="1"/>
  <c r="V71" i="11"/>
  <c r="W71" i="11" s="1"/>
  <c r="J109" i="11" l="1"/>
  <c r="M109" i="11"/>
  <c r="P109" i="11" s="1"/>
  <c r="J104" i="11"/>
  <c r="N104" i="11" s="1"/>
  <c r="M104" i="11"/>
  <c r="P104" i="11" s="1"/>
  <c r="J101" i="11"/>
  <c r="N101" i="11" s="1"/>
  <c r="M101" i="11"/>
  <c r="P101" i="11" s="1"/>
  <c r="J113" i="11"/>
  <c r="X113" i="11" s="1"/>
  <c r="M108" i="11"/>
  <c r="P108" i="11" s="1"/>
  <c r="M113" i="11"/>
  <c r="P113" i="11" s="1"/>
  <c r="J108" i="11"/>
  <c r="X108" i="11" s="1"/>
  <c r="J115" i="11"/>
  <c r="N115" i="11" s="1"/>
  <c r="M115" i="11"/>
  <c r="P115" i="11" s="1"/>
  <c r="M114" i="11"/>
  <c r="P114" i="11" s="1"/>
  <c r="M110" i="11"/>
  <c r="P110" i="11" s="1"/>
  <c r="M103" i="11"/>
  <c r="P103" i="11" s="1"/>
  <c r="J103" i="11"/>
  <c r="N103" i="11" s="1"/>
  <c r="J110" i="11"/>
  <c r="X110" i="11" s="1"/>
  <c r="J114" i="11"/>
  <c r="J105" i="11"/>
  <c r="X105" i="11" s="1"/>
  <c r="M105" i="11"/>
  <c r="P105" i="11" s="1"/>
  <c r="N140" i="11"/>
  <c r="Q140" i="11" s="1"/>
  <c r="X140" i="11"/>
  <c r="N95" i="11"/>
  <c r="Q95" i="11" s="1"/>
  <c r="R95" i="11" s="1"/>
  <c r="S95" i="11" s="1"/>
  <c r="X95" i="11"/>
  <c r="N128" i="11"/>
  <c r="Q128" i="11" s="1"/>
  <c r="R128" i="11" s="1"/>
  <c r="S128" i="11" s="1"/>
  <c r="X128" i="11"/>
  <c r="N165" i="11"/>
  <c r="X165" i="11"/>
  <c r="N102" i="11"/>
  <c r="Q102" i="11" s="1"/>
  <c r="R102" i="11" s="1"/>
  <c r="S102" i="11" s="1"/>
  <c r="T102" i="11" s="1"/>
  <c r="Z102" i="11" s="1"/>
  <c r="X102" i="11"/>
  <c r="N146" i="11"/>
  <c r="Q146" i="11" s="1"/>
  <c r="R146" i="11" s="1"/>
  <c r="X146" i="11"/>
  <c r="N98" i="11"/>
  <c r="Q98" i="11" s="1"/>
  <c r="R98" i="11" s="1"/>
  <c r="S98" i="11" s="1"/>
  <c r="T98" i="11" s="1"/>
  <c r="Z98" i="11" s="1"/>
  <c r="X98" i="11"/>
  <c r="N178" i="11"/>
  <c r="Q178" i="11" s="1"/>
  <c r="R178" i="11" s="1"/>
  <c r="S178" i="11" s="1"/>
  <c r="X178" i="11"/>
  <c r="N89" i="11"/>
  <c r="Q89" i="11" s="1"/>
  <c r="R89" i="11" s="1"/>
  <c r="S89" i="11" s="1"/>
  <c r="X89" i="11"/>
  <c r="N111" i="11"/>
  <c r="Q111" i="11" s="1"/>
  <c r="R111" i="11" s="1"/>
  <c r="S111" i="11" s="1"/>
  <c r="X111" i="11"/>
  <c r="N118" i="11"/>
  <c r="Q118" i="11" s="1"/>
  <c r="X118" i="11"/>
  <c r="N91" i="11"/>
  <c r="Q91" i="11" s="1"/>
  <c r="R91" i="11" s="1"/>
  <c r="S91" i="11" s="1"/>
  <c r="X91" i="11"/>
  <c r="N120" i="11"/>
  <c r="Q120" i="11" s="1"/>
  <c r="R120" i="11" s="1"/>
  <c r="S120" i="11" s="1"/>
  <c r="T120" i="11" s="1"/>
  <c r="Z120" i="11" s="1"/>
  <c r="X120" i="11"/>
  <c r="N94" i="11"/>
  <c r="Q94" i="11" s="1"/>
  <c r="R94" i="11" s="1"/>
  <c r="S94" i="11" s="1"/>
  <c r="X94" i="11"/>
  <c r="N152" i="11"/>
  <c r="Q152" i="11" s="1"/>
  <c r="X152" i="11"/>
  <c r="N166" i="11"/>
  <c r="Q166" i="11" s="1"/>
  <c r="R166" i="11" s="1"/>
  <c r="S166" i="11" s="1"/>
  <c r="X166" i="11"/>
  <c r="N153" i="11"/>
  <c r="Q153" i="11" s="1"/>
  <c r="R153" i="11" s="1"/>
  <c r="S153" i="11" s="1"/>
  <c r="X153" i="11"/>
  <c r="N175" i="11"/>
  <c r="Q175" i="11" s="1"/>
  <c r="R175" i="11" s="1"/>
  <c r="S175" i="11" s="1"/>
  <c r="X175" i="11"/>
  <c r="N106" i="11"/>
  <c r="Q106" i="11" s="1"/>
  <c r="R106" i="11" s="1"/>
  <c r="S106" i="11" s="1"/>
  <c r="X106" i="11"/>
  <c r="N122" i="11"/>
  <c r="Q122" i="11" s="1"/>
  <c r="R122" i="11" s="1"/>
  <c r="S122" i="11" s="1"/>
  <c r="X122" i="11"/>
  <c r="N97" i="11"/>
  <c r="Q97" i="11" s="1"/>
  <c r="R97" i="11" s="1"/>
  <c r="S97" i="11" s="1"/>
  <c r="X97" i="11"/>
  <c r="N130" i="11"/>
  <c r="Q130" i="11" s="1"/>
  <c r="R130" i="11" s="1"/>
  <c r="S130" i="11" s="1"/>
  <c r="X130" i="11"/>
  <c r="N142" i="11"/>
  <c r="Q142" i="11" s="1"/>
  <c r="R142" i="11" s="1"/>
  <c r="S142" i="11" s="1"/>
  <c r="X142" i="11"/>
  <c r="N168" i="11"/>
  <c r="Q168" i="11" s="1"/>
  <c r="R168" i="11" s="1"/>
  <c r="S168" i="11" s="1"/>
  <c r="T168" i="11" s="1"/>
  <c r="Z168" i="11" s="1"/>
  <c r="X168" i="11"/>
  <c r="N85" i="11"/>
  <c r="Q85" i="11" s="1"/>
  <c r="R85" i="11" s="1"/>
  <c r="S85" i="11" s="1"/>
  <c r="X85" i="11"/>
  <c r="N134" i="11"/>
  <c r="Q134" i="11" s="1"/>
  <c r="R134" i="11" s="1"/>
  <c r="S134" i="11" s="1"/>
  <c r="X134" i="11"/>
  <c r="N116" i="11"/>
  <c r="Q116" i="11" s="1"/>
  <c r="X116" i="11"/>
  <c r="N131" i="11"/>
  <c r="Q131" i="11" s="1"/>
  <c r="R131" i="11" s="1"/>
  <c r="S131" i="11" s="1"/>
  <c r="X131" i="11"/>
  <c r="N119" i="11"/>
  <c r="Q119" i="11" s="1"/>
  <c r="R119" i="11" s="1"/>
  <c r="S119" i="11" s="1"/>
  <c r="T119" i="11" s="1"/>
  <c r="Z119" i="11" s="1"/>
  <c r="X119" i="11"/>
  <c r="N135" i="11"/>
  <c r="Q135" i="11" s="1"/>
  <c r="R135" i="11" s="1"/>
  <c r="S135" i="11" s="1"/>
  <c r="X135" i="11"/>
  <c r="N171" i="11"/>
  <c r="Q171" i="11" s="1"/>
  <c r="R171" i="11" s="1"/>
  <c r="S171" i="11" s="1"/>
  <c r="X171" i="11"/>
  <c r="N156" i="11"/>
  <c r="Q156" i="11" s="1"/>
  <c r="R156" i="11" s="1"/>
  <c r="S156" i="11" s="1"/>
  <c r="X156" i="11"/>
  <c r="N100" i="11"/>
  <c r="Q100" i="11" s="1"/>
  <c r="R100" i="11" s="1"/>
  <c r="S100" i="11" s="1"/>
  <c r="X100" i="11"/>
  <c r="N117" i="11"/>
  <c r="Q117" i="11" s="1"/>
  <c r="R117" i="11" s="1"/>
  <c r="S117" i="11" s="1"/>
  <c r="X117" i="11"/>
  <c r="N158" i="11"/>
  <c r="Q158" i="11" s="1"/>
  <c r="R158" i="11" s="1"/>
  <c r="S158" i="11" s="1"/>
  <c r="X158" i="11"/>
  <c r="N150" i="11"/>
  <c r="Q150" i="11" s="1"/>
  <c r="X150" i="11"/>
  <c r="N76" i="11"/>
  <c r="Q76" i="11" s="1"/>
  <c r="R76" i="11" s="1"/>
  <c r="S76" i="11" s="1"/>
  <c r="T76" i="11" s="1"/>
  <c r="Z76" i="11" s="1"/>
  <c r="X76" i="11"/>
  <c r="N136" i="11"/>
  <c r="Q136" i="11" s="1"/>
  <c r="R136" i="11" s="1"/>
  <c r="S136" i="11" s="1"/>
  <c r="X136" i="11"/>
  <c r="N88" i="11"/>
  <c r="Q88" i="11" s="1"/>
  <c r="R88" i="11" s="1"/>
  <c r="S88" i="11" s="1"/>
  <c r="X88" i="11"/>
  <c r="N172" i="11"/>
  <c r="Q172" i="11" s="1"/>
  <c r="R172" i="11" s="1"/>
  <c r="S172" i="11" s="1"/>
  <c r="X172" i="11"/>
  <c r="N159" i="11"/>
  <c r="Q159" i="11" s="1"/>
  <c r="R159" i="11" s="1"/>
  <c r="S159" i="11" s="1"/>
  <c r="X159" i="11"/>
  <c r="N82" i="11"/>
  <c r="Q82" i="11" s="1"/>
  <c r="R82" i="11" s="1"/>
  <c r="S82" i="11" s="1"/>
  <c r="X82" i="11"/>
  <c r="N151" i="11"/>
  <c r="Q151" i="11" s="1"/>
  <c r="R151" i="11" s="1"/>
  <c r="S151" i="11" s="1"/>
  <c r="X151" i="11"/>
  <c r="N179" i="11"/>
  <c r="Q179" i="11" s="1"/>
  <c r="R179" i="11" s="1"/>
  <c r="S179" i="11" s="1"/>
  <c r="T179" i="11" s="1"/>
  <c r="Z179" i="11" s="1"/>
  <c r="X179" i="11"/>
  <c r="N148" i="11"/>
  <c r="Q148" i="11" s="1"/>
  <c r="R148" i="11" s="1"/>
  <c r="S148" i="11" s="1"/>
  <c r="X148" i="11"/>
  <c r="N170" i="11"/>
  <c r="Q170" i="11" s="1"/>
  <c r="R170" i="11" s="1"/>
  <c r="S170" i="11" s="1"/>
  <c r="X170" i="11"/>
  <c r="N173" i="11"/>
  <c r="Q173" i="11" s="1"/>
  <c r="R173" i="11" s="1"/>
  <c r="S173" i="11" s="1"/>
  <c r="X173" i="11"/>
  <c r="N160" i="11"/>
  <c r="Q160" i="11" s="1"/>
  <c r="R160" i="11" s="1"/>
  <c r="S160" i="11" s="1"/>
  <c r="X160" i="11"/>
  <c r="N125" i="11"/>
  <c r="Q125" i="11" s="1"/>
  <c r="X125" i="11"/>
  <c r="N162" i="11"/>
  <c r="Q162" i="11" s="1"/>
  <c r="R162" i="11" s="1"/>
  <c r="S162" i="11" s="1"/>
  <c r="X162" i="11"/>
  <c r="N129" i="11"/>
  <c r="Q129" i="11" s="1"/>
  <c r="R129" i="11" s="1"/>
  <c r="S129" i="11" s="1"/>
  <c r="X129" i="11"/>
  <c r="N141" i="11"/>
  <c r="Q141" i="11" s="1"/>
  <c r="R141" i="11" s="1"/>
  <c r="S141" i="11" s="1"/>
  <c r="X141" i="11"/>
  <c r="N87" i="11"/>
  <c r="Q87" i="11" s="1"/>
  <c r="R87" i="11" s="1"/>
  <c r="S87" i="11" s="1"/>
  <c r="X87" i="11"/>
  <c r="N167" i="11"/>
  <c r="Q167" i="11" s="1"/>
  <c r="R167" i="11" s="1"/>
  <c r="S167" i="11" s="1"/>
  <c r="T167" i="11" s="1"/>
  <c r="Z167" i="11" s="1"/>
  <c r="X167" i="11"/>
  <c r="N145" i="11"/>
  <c r="Q145" i="11" s="1"/>
  <c r="R145" i="11" s="1"/>
  <c r="S145" i="11" s="1"/>
  <c r="X145" i="11"/>
  <c r="N92" i="11"/>
  <c r="Q92" i="11" s="1"/>
  <c r="R92" i="11" s="1"/>
  <c r="S92" i="11" s="1"/>
  <c r="X92" i="11"/>
  <c r="N112" i="11"/>
  <c r="Q112" i="11" s="1"/>
  <c r="R112" i="11" s="1"/>
  <c r="S112" i="11" s="1"/>
  <c r="X112" i="11"/>
  <c r="N147" i="11"/>
  <c r="Q147" i="11" s="1"/>
  <c r="R147" i="11" s="1"/>
  <c r="S147" i="11" s="1"/>
  <c r="X147" i="11"/>
  <c r="N138" i="11"/>
  <c r="Q138" i="11" s="1"/>
  <c r="R138" i="11" s="1"/>
  <c r="S138" i="11" s="1"/>
  <c r="X138" i="11"/>
  <c r="N177" i="11"/>
  <c r="Q177" i="11" s="1"/>
  <c r="R177" i="11" s="1"/>
  <c r="S177" i="11" s="1"/>
  <c r="X177" i="11"/>
  <c r="N126" i="11"/>
  <c r="Q126" i="11" s="1"/>
  <c r="R126" i="11" s="1"/>
  <c r="S126" i="11" s="1"/>
  <c r="T126" i="11" s="1"/>
  <c r="Z126" i="11" s="1"/>
  <c r="X126" i="11"/>
  <c r="N90" i="11"/>
  <c r="Q90" i="11" s="1"/>
  <c r="R90" i="11" s="1"/>
  <c r="S90" i="11" s="1"/>
  <c r="X90" i="11"/>
  <c r="N96" i="11"/>
  <c r="Q96" i="11" s="1"/>
  <c r="R96" i="11" s="1"/>
  <c r="S96" i="11" s="1"/>
  <c r="X96" i="11"/>
  <c r="N109" i="11"/>
  <c r="Q109" i="11" s="1"/>
  <c r="R109" i="11" s="1"/>
  <c r="S109" i="11" s="1"/>
  <c r="X109" i="11"/>
  <c r="N163" i="11"/>
  <c r="Q163" i="11" s="1"/>
  <c r="R163" i="11" s="1"/>
  <c r="S163" i="11" s="1"/>
  <c r="X163" i="11"/>
  <c r="N124" i="11"/>
  <c r="Q124" i="11" s="1"/>
  <c r="R124" i="11" s="1"/>
  <c r="S124" i="11" s="1"/>
  <c r="X124" i="11"/>
  <c r="N99" i="11"/>
  <c r="Q99" i="11" s="1"/>
  <c r="R99" i="11" s="1"/>
  <c r="S99" i="11" s="1"/>
  <c r="X99" i="11"/>
  <c r="N155" i="11"/>
  <c r="Q155" i="11" s="1"/>
  <c r="R155" i="11" s="1"/>
  <c r="S155" i="11" s="1"/>
  <c r="X155" i="11"/>
  <c r="N133" i="11"/>
  <c r="Q133" i="11" s="1"/>
  <c r="R133" i="11" s="1"/>
  <c r="S133" i="11" s="1"/>
  <c r="X133" i="11"/>
  <c r="N73" i="11"/>
  <c r="Q73" i="11" s="1"/>
  <c r="R73" i="11" s="1"/>
  <c r="S73" i="11" s="1"/>
  <c r="T73" i="11" s="1"/>
  <c r="Z73" i="11" s="1"/>
  <c r="X73" i="11"/>
  <c r="N157" i="11"/>
  <c r="Q157" i="11" s="1"/>
  <c r="R157" i="11" s="1"/>
  <c r="S157" i="11" s="1"/>
  <c r="X157" i="11"/>
  <c r="N121" i="11"/>
  <c r="Q121" i="11" s="1"/>
  <c r="R121" i="11" s="1"/>
  <c r="S121" i="11" s="1"/>
  <c r="X121" i="11"/>
  <c r="N154" i="11"/>
  <c r="Q154" i="11" s="1"/>
  <c r="R154" i="11" s="1"/>
  <c r="S154" i="11" s="1"/>
  <c r="T154" i="11" s="1"/>
  <c r="Z154" i="11" s="1"/>
  <c r="X154" i="11"/>
  <c r="N137" i="11"/>
  <c r="Q137" i="11" s="1"/>
  <c r="R137" i="11" s="1"/>
  <c r="S137" i="11" s="1"/>
  <c r="X137" i="11"/>
  <c r="N143" i="11"/>
  <c r="Q143" i="11" s="1"/>
  <c r="R143" i="11" s="1"/>
  <c r="S143" i="11" s="1"/>
  <c r="X143" i="11"/>
  <c r="N139" i="11"/>
  <c r="Q139" i="11" s="1"/>
  <c r="R139" i="11" s="1"/>
  <c r="S139" i="11" s="1"/>
  <c r="X139" i="11"/>
  <c r="N149" i="11"/>
  <c r="Q149" i="11" s="1"/>
  <c r="R149" i="11" s="1"/>
  <c r="S149" i="11" s="1"/>
  <c r="X149" i="11"/>
  <c r="N161" i="11"/>
  <c r="Q161" i="11" s="1"/>
  <c r="R161" i="11" s="1"/>
  <c r="S161" i="11" s="1"/>
  <c r="X161" i="11"/>
  <c r="N127" i="11"/>
  <c r="Q127" i="11" s="1"/>
  <c r="X127" i="11"/>
  <c r="N144" i="11"/>
  <c r="Q144" i="11" s="1"/>
  <c r="R144" i="11" s="1"/>
  <c r="S144" i="11" s="1"/>
  <c r="T144" i="11" s="1"/>
  <c r="Z144" i="11" s="1"/>
  <c r="X144" i="11"/>
  <c r="N132" i="11"/>
  <c r="Q132" i="11" s="1"/>
  <c r="R132" i="11" s="1"/>
  <c r="S132" i="11" s="1"/>
  <c r="X132" i="11"/>
  <c r="N84" i="11"/>
  <c r="Q84" i="11" s="1"/>
  <c r="R84" i="11" s="1"/>
  <c r="S84" i="11" s="1"/>
  <c r="X84" i="11"/>
  <c r="N174" i="11"/>
  <c r="Q174" i="11" s="1"/>
  <c r="X174" i="11"/>
  <c r="N93" i="11"/>
  <c r="Q93" i="11" s="1"/>
  <c r="R93" i="11" s="1"/>
  <c r="S93" i="11" s="1"/>
  <c r="X93" i="11"/>
  <c r="N169" i="11"/>
  <c r="Q169" i="11" s="1"/>
  <c r="R169" i="11" s="1"/>
  <c r="S169" i="11" s="1"/>
  <c r="X169" i="11"/>
  <c r="N123" i="11"/>
  <c r="Q123" i="11" s="1"/>
  <c r="X123" i="11"/>
  <c r="N176" i="11"/>
  <c r="Q176" i="11" s="1"/>
  <c r="X176" i="11"/>
  <c r="N86" i="11"/>
  <c r="Q86" i="11" s="1"/>
  <c r="R86" i="11" s="1"/>
  <c r="S86" i="11" s="1"/>
  <c r="X86" i="11"/>
  <c r="U83" i="11"/>
  <c r="Y83" i="11" s="1"/>
  <c r="S68" i="11"/>
  <c r="T68" i="11" s="1"/>
  <c r="Z68" i="11" s="1"/>
  <c r="R78" i="11"/>
  <c r="S78" i="11" s="1"/>
  <c r="R69" i="11"/>
  <c r="S69" i="11" s="1"/>
  <c r="O165" i="11"/>
  <c r="P165" i="11"/>
  <c r="J107" i="11"/>
  <c r="O124" i="11"/>
  <c r="O92" i="11"/>
  <c r="O149" i="11"/>
  <c r="O102" i="11"/>
  <c r="O169" i="11"/>
  <c r="O86" i="11"/>
  <c r="O111" i="11"/>
  <c r="O153" i="11"/>
  <c r="O178" i="11"/>
  <c r="O143" i="11"/>
  <c r="O109" i="11"/>
  <c r="O95" i="11"/>
  <c r="O173" i="11"/>
  <c r="O132" i="11"/>
  <c r="O90" i="11"/>
  <c r="O148" i="11"/>
  <c r="O141" i="11"/>
  <c r="O130" i="11"/>
  <c r="O167" i="11"/>
  <c r="O179" i="11"/>
  <c r="O129" i="11"/>
  <c r="O99" i="11"/>
  <c r="O177" i="11"/>
  <c r="O125" i="11"/>
  <c r="O162" i="11"/>
  <c r="O98" i="11"/>
  <c r="O158" i="11"/>
  <c r="O142" i="11"/>
  <c r="O106" i="11"/>
  <c r="O97" i="11"/>
  <c r="O168" i="11"/>
  <c r="O150" i="11"/>
  <c r="O117" i="11"/>
  <c r="O137" i="11"/>
  <c r="O135" i="11"/>
  <c r="O131" i="11"/>
  <c r="O147" i="11"/>
  <c r="O134" i="11"/>
  <c r="O91" i="11"/>
  <c r="O136" i="11"/>
  <c r="O122" i="11"/>
  <c r="O93" i="11"/>
  <c r="O118" i="11"/>
  <c r="O84" i="11"/>
  <c r="O116" i="11"/>
  <c r="N164" i="11"/>
  <c r="O145" i="11"/>
  <c r="O156" i="11"/>
  <c r="O164" i="11"/>
  <c r="O87" i="11"/>
  <c r="O119" i="11"/>
  <c r="O138" i="11"/>
  <c r="O154" i="11"/>
  <c r="O175" i="11"/>
  <c r="O160" i="11"/>
  <c r="O121" i="11"/>
  <c r="O96" i="11"/>
  <c r="O140" i="11"/>
  <c r="O76" i="11"/>
  <c r="O170" i="11"/>
  <c r="O146" i="11"/>
  <c r="O100" i="11"/>
  <c r="O133" i="11"/>
  <c r="O85" i="11"/>
  <c r="O157" i="11"/>
  <c r="O128" i="11"/>
  <c r="O151" i="11"/>
  <c r="O127" i="11"/>
  <c r="O159" i="11"/>
  <c r="O163" i="11"/>
  <c r="O126" i="11"/>
  <c r="O120" i="11"/>
  <c r="O82" i="11"/>
  <c r="O152" i="11"/>
  <c r="O166" i="11"/>
  <c r="O89" i="11"/>
  <c r="O94" i="11"/>
  <c r="O88" i="11"/>
  <c r="O73" i="11"/>
  <c r="O139" i="11"/>
  <c r="O174" i="11"/>
  <c r="O171" i="11"/>
  <c r="O161" i="11"/>
  <c r="O172" i="11"/>
  <c r="O144" i="11"/>
  <c r="O123" i="11"/>
  <c r="O112" i="11"/>
  <c r="O176" i="11"/>
  <c r="O155" i="11"/>
  <c r="M107" i="11"/>
  <c r="P107" i="11" s="1"/>
  <c r="T81" i="11"/>
  <c r="Z81" i="11" s="1"/>
  <c r="T79" i="11"/>
  <c r="Z79" i="11" s="1"/>
  <c r="T80" i="11"/>
  <c r="Z80" i="11" s="1"/>
  <c r="T77" i="11"/>
  <c r="Z77" i="11" s="1"/>
  <c r="T74" i="11"/>
  <c r="Z74" i="11" s="1"/>
  <c r="T70" i="11"/>
  <c r="Z70" i="11" s="1"/>
  <c r="T72" i="11"/>
  <c r="Z72" i="11" s="1"/>
  <c r="V86" i="11"/>
  <c r="W86" i="11" s="1"/>
  <c r="V165" i="11"/>
  <c r="W165" i="11" s="1"/>
  <c r="V155" i="11"/>
  <c r="W155" i="11" s="1"/>
  <c r="V175" i="11"/>
  <c r="W175" i="11" s="1"/>
  <c r="V150" i="11"/>
  <c r="W150" i="11" s="1"/>
  <c r="V176" i="11"/>
  <c r="W176" i="11" s="1"/>
  <c r="V96" i="11"/>
  <c r="W96" i="11" s="1"/>
  <c r="V167" i="11"/>
  <c r="W167" i="11" s="1"/>
  <c r="V87" i="11"/>
  <c r="W87" i="11" s="1"/>
  <c r="V163" i="11"/>
  <c r="W163" i="11" s="1"/>
  <c r="V168" i="11"/>
  <c r="W168" i="11" s="1"/>
  <c r="V99" i="11"/>
  <c r="W99" i="11" s="1"/>
  <c r="V153" i="11"/>
  <c r="W153" i="11" s="1"/>
  <c r="V169" i="11"/>
  <c r="W169" i="11" s="1"/>
  <c r="V129" i="11"/>
  <c r="W129" i="11" s="1"/>
  <c r="V117" i="11"/>
  <c r="W117" i="11" s="1"/>
  <c r="V123" i="11"/>
  <c r="W123" i="11" s="1"/>
  <c r="V158" i="11"/>
  <c r="W158" i="11" s="1"/>
  <c r="V142" i="11"/>
  <c r="W142" i="11" s="1"/>
  <c r="V128" i="11"/>
  <c r="W128" i="11" s="1"/>
  <c r="V109" i="11"/>
  <c r="W109" i="11" s="1"/>
  <c r="V179" i="11"/>
  <c r="W179" i="11" s="1"/>
  <c r="V172" i="11"/>
  <c r="W172" i="11" s="1"/>
  <c r="V91" i="11"/>
  <c r="W91" i="11" s="1"/>
  <c r="V170" i="11"/>
  <c r="W170" i="11" s="1"/>
  <c r="V164" i="11"/>
  <c r="W164" i="11" s="1"/>
  <c r="V174" i="11"/>
  <c r="W174" i="11" s="1"/>
  <c r="V151" i="11"/>
  <c r="W151" i="11" s="1"/>
  <c r="V116" i="11"/>
  <c r="W116" i="11" s="1"/>
  <c r="V106" i="11"/>
  <c r="W106" i="11" s="1"/>
  <c r="V133" i="11"/>
  <c r="W133" i="11" s="1"/>
  <c r="V121" i="11"/>
  <c r="W121" i="11" s="1"/>
  <c r="V154" i="11"/>
  <c r="W154" i="11" s="1"/>
  <c r="V130" i="11"/>
  <c r="W130" i="11" s="1"/>
  <c r="V173" i="11"/>
  <c r="W173" i="11" s="1"/>
  <c r="V125" i="11"/>
  <c r="W125" i="11" s="1"/>
  <c r="V98" i="11"/>
  <c r="W98" i="11" s="1"/>
  <c r="V152" i="11"/>
  <c r="W152" i="11" s="1"/>
  <c r="V157" i="11"/>
  <c r="W157" i="11" s="1"/>
  <c r="V147" i="11"/>
  <c r="W147" i="11" s="1"/>
  <c r="V131" i="11"/>
  <c r="W131" i="11" s="1"/>
  <c r="V159" i="11"/>
  <c r="W159" i="11" s="1"/>
  <c r="V144" i="11"/>
  <c r="W144" i="11" s="1"/>
  <c r="V126" i="11"/>
  <c r="W126" i="11" s="1"/>
  <c r="V162" i="11"/>
  <c r="W162" i="11" s="1"/>
  <c r="V93" i="11"/>
  <c r="W93" i="11" s="1"/>
  <c r="V134" i="11"/>
  <c r="W134" i="11" s="1"/>
  <c r="V137" i="11"/>
  <c r="W137" i="11" s="1"/>
  <c r="V143" i="11"/>
  <c r="W143" i="11" s="1"/>
  <c r="V139" i="11"/>
  <c r="W139" i="11" s="1"/>
  <c r="V148" i="11"/>
  <c r="W148" i="11" s="1"/>
  <c r="V85" i="11"/>
  <c r="W85" i="11" s="1"/>
  <c r="V132" i="11"/>
  <c r="W132" i="11" s="1"/>
  <c r="V84" i="11"/>
  <c r="W84" i="11" s="1"/>
  <c r="V141" i="11"/>
  <c r="W141" i="11" s="1"/>
  <c r="V161" i="11"/>
  <c r="W161" i="11" s="1"/>
  <c r="V135" i="11"/>
  <c r="W135" i="11" s="1"/>
  <c r="V160" i="11"/>
  <c r="W160" i="11" s="1"/>
  <c r="V178" i="11"/>
  <c r="W178" i="11" s="1"/>
  <c r="V89" i="11"/>
  <c r="W89" i="11" s="1"/>
  <c r="V111" i="11"/>
  <c r="W111" i="11" s="1"/>
  <c r="V138" i="11"/>
  <c r="W138" i="11" s="1"/>
  <c r="V146" i="11"/>
  <c r="W146" i="11" s="1"/>
  <c r="V94" i="11"/>
  <c r="W94" i="11" s="1"/>
  <c r="V90" i="11"/>
  <c r="W90" i="11" s="1"/>
  <c r="V140" i="11"/>
  <c r="W140" i="11" s="1"/>
  <c r="V145" i="11"/>
  <c r="W145" i="11" s="1"/>
  <c r="V100" i="11"/>
  <c r="W100" i="11" s="1"/>
  <c r="V97" i="11"/>
  <c r="W97" i="11" s="1"/>
  <c r="V120" i="11"/>
  <c r="W120" i="11" s="1"/>
  <c r="V171" i="11"/>
  <c r="W171" i="11" s="1"/>
  <c r="V124" i="11"/>
  <c r="W124" i="11" s="1"/>
  <c r="V95" i="11"/>
  <c r="W95" i="11" s="1"/>
  <c r="V156" i="11"/>
  <c r="W156" i="11" s="1"/>
  <c r="V127" i="11"/>
  <c r="W127" i="11" s="1"/>
  <c r="V136" i="11"/>
  <c r="W136" i="11" s="1"/>
  <c r="V102" i="11"/>
  <c r="W102" i="11" s="1"/>
  <c r="V112" i="11"/>
  <c r="W112" i="11" s="1"/>
  <c r="V118" i="11"/>
  <c r="W118" i="11" s="1"/>
  <c r="V149" i="11"/>
  <c r="W149" i="11" s="1"/>
  <c r="V119" i="11"/>
  <c r="W119" i="11" s="1"/>
  <c r="V166" i="11"/>
  <c r="W166" i="11" s="1"/>
  <c r="V177" i="11"/>
  <c r="W177" i="11" s="1"/>
  <c r="V92" i="11"/>
  <c r="W92" i="11" s="1"/>
  <c r="V122" i="11"/>
  <c r="W122" i="11" s="1"/>
  <c r="V88" i="11"/>
  <c r="W88" i="11" s="1"/>
  <c r="V82" i="11"/>
  <c r="W82" i="11" s="1"/>
  <c r="V76" i="11"/>
  <c r="W76" i="11" s="1"/>
  <c r="V73" i="11"/>
  <c r="W73" i="11" s="1"/>
  <c r="O104" i="11" l="1"/>
  <c r="O101" i="11"/>
  <c r="Q104" i="11"/>
  <c r="R104" i="11" s="1"/>
  <c r="S104" i="11" s="1"/>
  <c r="V104" i="11"/>
  <c r="W104" i="11" s="1"/>
  <c r="X104" i="11"/>
  <c r="N113" i="11"/>
  <c r="Q113" i="11" s="1"/>
  <c r="R113" i="11" s="1"/>
  <c r="S113" i="11" s="1"/>
  <c r="T113" i="11" s="1"/>
  <c r="Z113" i="11" s="1"/>
  <c r="O108" i="11"/>
  <c r="Q101" i="11"/>
  <c r="R101" i="11" s="1"/>
  <c r="S101" i="11" s="1"/>
  <c r="T101" i="11" s="1"/>
  <c r="Z101" i="11" s="1"/>
  <c r="V101" i="11"/>
  <c r="W101" i="11" s="1"/>
  <c r="X101" i="11"/>
  <c r="V113" i="11"/>
  <c r="W113" i="11" s="1"/>
  <c r="O113" i="11"/>
  <c r="V108" i="11"/>
  <c r="W108" i="11" s="1"/>
  <c r="N108" i="11"/>
  <c r="Q108" i="11" s="1"/>
  <c r="R108" i="11" s="1"/>
  <c r="S108" i="11" s="1"/>
  <c r="X115" i="11"/>
  <c r="O115" i="11"/>
  <c r="V115" i="11"/>
  <c r="W115" i="11" s="1"/>
  <c r="Q115" i="11"/>
  <c r="R115" i="11" s="1"/>
  <c r="S115" i="11" s="1"/>
  <c r="O110" i="11"/>
  <c r="O114" i="11"/>
  <c r="V114" i="11"/>
  <c r="W114" i="11" s="1"/>
  <c r="N110" i="11"/>
  <c r="Q110" i="11" s="1"/>
  <c r="R110" i="11" s="1"/>
  <c r="X103" i="11"/>
  <c r="O103" i="11"/>
  <c r="N114" i="11"/>
  <c r="Q114" i="11" s="1"/>
  <c r="R114" i="11" s="1"/>
  <c r="S114" i="11" s="1"/>
  <c r="Q103" i="11"/>
  <c r="R103" i="11" s="1"/>
  <c r="S103" i="11" s="1"/>
  <c r="X114" i="11"/>
  <c r="V103" i="11"/>
  <c r="W103" i="11" s="1"/>
  <c r="V110" i="11"/>
  <c r="W110" i="11" s="1"/>
  <c r="N105" i="11"/>
  <c r="Q105" i="11" s="1"/>
  <c r="R105" i="11" s="1"/>
  <c r="S105" i="11" s="1"/>
  <c r="O105" i="11"/>
  <c r="V105" i="11"/>
  <c r="W105" i="11" s="1"/>
  <c r="U168" i="11"/>
  <c r="Y168" i="11" s="1"/>
  <c r="U77" i="11"/>
  <c r="Y77" i="11" s="1"/>
  <c r="U76" i="11"/>
  <c r="Y76" i="11" s="1"/>
  <c r="U120" i="11"/>
  <c r="Y120" i="11" s="1"/>
  <c r="U81" i="11"/>
  <c r="Y81" i="11" s="1"/>
  <c r="U144" i="11"/>
  <c r="Y144" i="11" s="1"/>
  <c r="U102" i="11"/>
  <c r="Y102" i="11" s="1"/>
  <c r="U72" i="11"/>
  <c r="Y72" i="11" s="1"/>
  <c r="U80" i="11"/>
  <c r="Y80" i="11" s="1"/>
  <c r="U70" i="11"/>
  <c r="Y70" i="11" s="1"/>
  <c r="U73" i="11"/>
  <c r="Y73" i="11" s="1"/>
  <c r="N107" i="11"/>
  <c r="Q107" i="11" s="1"/>
  <c r="R107" i="11" s="1"/>
  <c r="S107" i="11" s="1"/>
  <c r="T107" i="11" s="1"/>
  <c r="Z107" i="11" s="1"/>
  <c r="X107" i="11"/>
  <c r="U74" i="11"/>
  <c r="Y74" i="11" s="1"/>
  <c r="Q164" i="11"/>
  <c r="R164" i="11" s="1"/>
  <c r="S164" i="11" s="1"/>
  <c r="U179" i="11"/>
  <c r="Y179" i="11" s="1"/>
  <c r="U126" i="11"/>
  <c r="Y126" i="11" s="1"/>
  <c r="U79" i="11"/>
  <c r="Y79" i="11" s="1"/>
  <c r="U154" i="11"/>
  <c r="Y154" i="11" s="1"/>
  <c r="U119" i="11"/>
  <c r="Y119" i="11" s="1"/>
  <c r="U167" i="11"/>
  <c r="Y167" i="11" s="1"/>
  <c r="U98" i="11"/>
  <c r="Y98" i="11" s="1"/>
  <c r="U68" i="11"/>
  <c r="Y68" i="11" s="1"/>
  <c r="T134" i="11"/>
  <c r="Z134" i="11" s="1"/>
  <c r="T143" i="11"/>
  <c r="Z143" i="11" s="1"/>
  <c r="T69" i="11"/>
  <c r="Z69" i="11" s="1"/>
  <c r="R127" i="11"/>
  <c r="S127" i="11" s="1"/>
  <c r="R176" i="11"/>
  <c r="S176" i="11" s="1"/>
  <c r="R123" i="11"/>
  <c r="S123" i="11" s="1"/>
  <c r="T78" i="11"/>
  <c r="Z78" i="11" s="1"/>
  <c r="R125" i="11"/>
  <c r="S125" i="11" s="1"/>
  <c r="R118" i="11"/>
  <c r="S118" i="11" s="1"/>
  <c r="R116" i="11"/>
  <c r="S116" i="11" s="1"/>
  <c r="R150" i="11"/>
  <c r="S150" i="11" s="1"/>
  <c r="R174" i="11"/>
  <c r="S174" i="11" s="1"/>
  <c r="R152" i="11"/>
  <c r="S152" i="11" s="1"/>
  <c r="R140" i="11"/>
  <c r="S140" i="11" s="1"/>
  <c r="S146" i="11"/>
  <c r="T146" i="11" s="1"/>
  <c r="Z146" i="11" s="1"/>
  <c r="Q165" i="11"/>
  <c r="R165" i="11" s="1"/>
  <c r="S165" i="11" s="1"/>
  <c r="T165" i="11" s="1"/>
  <c r="Z165" i="11" s="1"/>
  <c r="V107" i="11"/>
  <c r="W107" i="11" s="1"/>
  <c r="O107" i="11"/>
  <c r="T96" i="11"/>
  <c r="Z96" i="11" s="1"/>
  <c r="T166" i="11"/>
  <c r="Z166" i="11" s="1"/>
  <c r="T160" i="11"/>
  <c r="Z160" i="11" s="1"/>
  <c r="T155" i="11"/>
  <c r="Z155" i="11" s="1"/>
  <c r="T153" i="11"/>
  <c r="Z153" i="11" s="1"/>
  <c r="T94" i="11"/>
  <c r="Z94" i="11" s="1"/>
  <c r="T86" i="11"/>
  <c r="Z86" i="11" s="1"/>
  <c r="T149" i="11"/>
  <c r="Z149" i="11" s="1"/>
  <c r="T173" i="11"/>
  <c r="Z173" i="11" s="1"/>
  <c r="T142" i="11"/>
  <c r="Z142" i="11" s="1"/>
  <c r="T122" i="11"/>
  <c r="Z122" i="11" s="1"/>
  <c r="T124" i="11"/>
  <c r="Z124" i="11" s="1"/>
  <c r="T141" i="11"/>
  <c r="Z141" i="11" s="1"/>
  <c r="T163" i="11"/>
  <c r="Z163" i="11" s="1"/>
  <c r="T145" i="11"/>
  <c r="Z145" i="11" s="1"/>
  <c r="T109" i="11"/>
  <c r="Z109" i="11" s="1"/>
  <c r="T133" i="11"/>
  <c r="Z133" i="11" s="1"/>
  <c r="T87" i="11"/>
  <c r="Z87" i="11" s="1"/>
  <c r="T172" i="11"/>
  <c r="Z172" i="11" s="1"/>
  <c r="T121" i="11"/>
  <c r="Z121" i="11" s="1"/>
  <c r="T75" i="11"/>
  <c r="Z75" i="11" s="1"/>
  <c r="T71" i="11"/>
  <c r="Z71" i="11" s="1"/>
  <c r="T112" i="11"/>
  <c r="Z112" i="11" s="1"/>
  <c r="T90" i="11"/>
  <c r="Z90" i="11" s="1"/>
  <c r="T111" i="11"/>
  <c r="Z111" i="11" s="1"/>
  <c r="T148" i="11"/>
  <c r="Z148" i="11" s="1"/>
  <c r="T130" i="11"/>
  <c r="Z130" i="11" s="1"/>
  <c r="T92" i="11"/>
  <c r="Z92" i="11" s="1"/>
  <c r="T97" i="11"/>
  <c r="Z97" i="11" s="1"/>
  <c r="T159" i="11"/>
  <c r="Z159" i="11" s="1"/>
  <c r="T171" i="11"/>
  <c r="Z171" i="11" s="1"/>
  <c r="T89" i="11"/>
  <c r="Z89" i="11" s="1"/>
  <c r="T84" i="11"/>
  <c r="Z84" i="11" s="1"/>
  <c r="T139" i="11"/>
  <c r="Z139" i="11" s="1"/>
  <c r="T162" i="11"/>
  <c r="Z162" i="11" s="1"/>
  <c r="T91" i="11"/>
  <c r="Z91" i="11" s="1"/>
  <c r="T136" i="11"/>
  <c r="Z136" i="11" s="1"/>
  <c r="T138" i="11"/>
  <c r="Z138" i="11" s="1"/>
  <c r="T135" i="11"/>
  <c r="Z135" i="11" s="1"/>
  <c r="T132" i="11"/>
  <c r="Z132" i="11" s="1"/>
  <c r="T177" i="11"/>
  <c r="Z177" i="11" s="1"/>
  <c r="T178" i="11"/>
  <c r="Z178" i="11" s="1"/>
  <c r="T157" i="11"/>
  <c r="Z157" i="11" s="1"/>
  <c r="T85" i="11"/>
  <c r="Z85" i="11" s="1"/>
  <c r="T131" i="11"/>
  <c r="Z131" i="11" s="1"/>
  <c r="T151" i="11"/>
  <c r="Z151" i="11" s="1"/>
  <c r="T104" i="11" l="1"/>
  <c r="Z104" i="11" s="1"/>
  <c r="U101" i="11"/>
  <c r="Y101" i="11" s="1"/>
  <c r="U113" i="11"/>
  <c r="Y113" i="11" s="1"/>
  <c r="S110" i="11"/>
  <c r="T110" i="11" s="1"/>
  <c r="T114" i="11"/>
  <c r="Z114" i="11" s="1"/>
  <c r="T105" i="11"/>
  <c r="Z105" i="11" s="1"/>
  <c r="U85" i="11"/>
  <c r="Y85" i="11" s="1"/>
  <c r="U91" i="11"/>
  <c r="Y91" i="11" s="1"/>
  <c r="U92" i="11"/>
  <c r="Y92" i="11" s="1"/>
  <c r="U75" i="11"/>
  <c r="Y75" i="11" s="1"/>
  <c r="U139" i="11"/>
  <c r="Y139" i="11" s="1"/>
  <c r="U107" i="11"/>
  <c r="Y107" i="11" s="1"/>
  <c r="U130" i="11"/>
  <c r="Y130" i="11" s="1"/>
  <c r="U178" i="11"/>
  <c r="Y178" i="11" s="1"/>
  <c r="U177" i="11"/>
  <c r="Y177" i="11" s="1"/>
  <c r="U84" i="11"/>
  <c r="Y84" i="11" s="1"/>
  <c r="U90" i="11"/>
  <c r="Y90" i="11" s="1"/>
  <c r="U146" i="11"/>
  <c r="Y146" i="11" s="1"/>
  <c r="U78" i="11"/>
  <c r="Y78" i="11" s="1"/>
  <c r="U157" i="11"/>
  <c r="Y157" i="11" s="1"/>
  <c r="U94" i="11"/>
  <c r="Y94" i="11" s="1"/>
  <c r="U172" i="11"/>
  <c r="Y172" i="11" s="1"/>
  <c r="U87" i="11"/>
  <c r="Y87" i="11" s="1"/>
  <c r="U162" i="11"/>
  <c r="Y162" i="11" s="1"/>
  <c r="U111" i="11"/>
  <c r="Y111" i="11" s="1"/>
  <c r="U89" i="11"/>
  <c r="Y89" i="11" s="1"/>
  <c r="U171" i="11"/>
  <c r="Y171" i="11" s="1"/>
  <c r="U138" i="11"/>
  <c r="Y138" i="11" s="1"/>
  <c r="U112" i="11"/>
  <c r="Y112" i="11" s="1"/>
  <c r="U121" i="11"/>
  <c r="Y121" i="11" s="1"/>
  <c r="U148" i="11"/>
  <c r="Y148" i="11" s="1"/>
  <c r="U132" i="11"/>
  <c r="Y132" i="11" s="1"/>
  <c r="U135" i="11"/>
  <c r="Y135" i="11" s="1"/>
  <c r="U104" i="11"/>
  <c r="Y104" i="11" s="1"/>
  <c r="U151" i="11"/>
  <c r="Y151" i="11" s="1"/>
  <c r="U159" i="11"/>
  <c r="Y159" i="11" s="1"/>
  <c r="U131" i="11"/>
  <c r="Y131" i="11" s="1"/>
  <c r="U136" i="11"/>
  <c r="Y136" i="11" s="1"/>
  <c r="U97" i="11"/>
  <c r="Y97" i="11" s="1"/>
  <c r="U69" i="11"/>
  <c r="Y69" i="11" s="1"/>
  <c r="U71" i="11"/>
  <c r="Y71" i="11" s="1"/>
  <c r="T164" i="11"/>
  <c r="Z164" i="11" s="1"/>
  <c r="U142" i="11"/>
  <c r="Y142" i="11" s="1"/>
  <c r="U145" i="11"/>
  <c r="Y145" i="11" s="1"/>
  <c r="U86" i="11"/>
  <c r="Y86" i="11" s="1"/>
  <c r="U166" i="11"/>
  <c r="Y166" i="11" s="1"/>
  <c r="U149" i="11"/>
  <c r="Y149" i="11" s="1"/>
  <c r="U163" i="11"/>
  <c r="Y163" i="11" s="1"/>
  <c r="U96" i="11"/>
  <c r="Y96" i="11" s="1"/>
  <c r="U141" i="11"/>
  <c r="Y141" i="11" s="1"/>
  <c r="U153" i="11"/>
  <c r="Y153" i="11" s="1"/>
  <c r="U173" i="11"/>
  <c r="Y173" i="11" s="1"/>
  <c r="U109" i="11"/>
  <c r="Y109" i="11" s="1"/>
  <c r="U124" i="11"/>
  <c r="Y124" i="11" s="1"/>
  <c r="U155" i="11"/>
  <c r="Y155" i="11" s="1"/>
  <c r="U143" i="11"/>
  <c r="Y143" i="11" s="1"/>
  <c r="U133" i="11"/>
  <c r="Y133" i="11" s="1"/>
  <c r="U122" i="11"/>
  <c r="Y122" i="11" s="1"/>
  <c r="U160" i="11"/>
  <c r="Y160" i="11" s="1"/>
  <c r="U165" i="11"/>
  <c r="Y165" i="11" s="1"/>
  <c r="U134" i="11"/>
  <c r="Y134" i="11" s="1"/>
  <c r="T140" i="11"/>
  <c r="Z140" i="11" s="1"/>
  <c r="T103" i="11"/>
  <c r="Z103" i="11" s="1"/>
  <c r="T116" i="11"/>
  <c r="Z116" i="11" s="1"/>
  <c r="T123" i="11"/>
  <c r="Z123" i="11" s="1"/>
  <c r="T152" i="11"/>
  <c r="Z152" i="11" s="1"/>
  <c r="T118" i="11"/>
  <c r="Z118" i="11" s="1"/>
  <c r="T176" i="11"/>
  <c r="Z176" i="11" s="1"/>
  <c r="T174" i="11"/>
  <c r="Z174" i="11" s="1"/>
  <c r="T125" i="11"/>
  <c r="Z125" i="11" s="1"/>
  <c r="T127" i="11"/>
  <c r="Z127" i="11" s="1"/>
  <c r="T150" i="11"/>
  <c r="Z150" i="11" s="1"/>
  <c r="T115" i="11"/>
  <c r="Z115" i="11" s="1"/>
  <c r="T88" i="11"/>
  <c r="Z88" i="11" s="1"/>
  <c r="T95" i="11"/>
  <c r="Z95" i="11" s="1"/>
  <c r="T169" i="11"/>
  <c r="Z169" i="11" s="1"/>
  <c r="T106" i="11"/>
  <c r="Z106" i="11" s="1"/>
  <c r="T175" i="11"/>
  <c r="Z175" i="11" s="1"/>
  <c r="T147" i="11"/>
  <c r="Z147" i="11" s="1"/>
  <c r="T108" i="11"/>
  <c r="Z108" i="11" s="1"/>
  <c r="T99" i="11"/>
  <c r="Z99" i="11" s="1"/>
  <c r="T128" i="11"/>
  <c r="Z128" i="11" s="1"/>
  <c r="T93" i="11"/>
  <c r="Z93" i="11" s="1"/>
  <c r="T117" i="11"/>
  <c r="Z117" i="11" s="1"/>
  <c r="T156" i="11"/>
  <c r="Z156" i="11" s="1"/>
  <c r="T82" i="11"/>
  <c r="Z82" i="11" s="1"/>
  <c r="T100" i="11"/>
  <c r="Z100" i="11" s="1"/>
  <c r="T170" i="11"/>
  <c r="Z170" i="11" s="1"/>
  <c r="T129" i="11"/>
  <c r="Z129" i="11" s="1"/>
  <c r="T158" i="11"/>
  <c r="Z158" i="11" s="1"/>
  <c r="T161" i="11"/>
  <c r="Z161" i="11" s="1"/>
  <c r="T137" i="11"/>
  <c r="Z137" i="11" s="1"/>
  <c r="U114" i="11" l="1"/>
  <c r="Y114" i="11" s="1"/>
  <c r="Z110" i="11"/>
  <c r="U110" i="11"/>
  <c r="Y110" i="11" s="1"/>
  <c r="U105" i="11"/>
  <c r="Y105" i="11" s="1"/>
  <c r="U88" i="11"/>
  <c r="Y88" i="11" s="1"/>
  <c r="U123" i="11"/>
  <c r="Y123" i="11" s="1"/>
  <c r="U158" i="11"/>
  <c r="Y158" i="11" s="1"/>
  <c r="U99" i="11"/>
  <c r="Y99" i="11" s="1"/>
  <c r="U127" i="11"/>
  <c r="Y127" i="11" s="1"/>
  <c r="U108" i="11"/>
  <c r="Y108" i="11" s="1"/>
  <c r="U147" i="11"/>
  <c r="Y147" i="11" s="1"/>
  <c r="U82" i="11"/>
  <c r="Y82" i="11" s="1"/>
  <c r="U175" i="11"/>
  <c r="Y175" i="11" s="1"/>
  <c r="U125" i="11"/>
  <c r="Y125" i="11" s="1"/>
  <c r="U152" i="11"/>
  <c r="Y152" i="11" s="1"/>
  <c r="U170" i="11"/>
  <c r="Y170" i="11" s="1"/>
  <c r="U106" i="11"/>
  <c r="Y106" i="11" s="1"/>
  <c r="U117" i="11"/>
  <c r="Y117" i="11" s="1"/>
  <c r="U169" i="11"/>
  <c r="Y169" i="11" s="1"/>
  <c r="U176" i="11"/>
  <c r="Y176" i="11" s="1"/>
  <c r="U128" i="11"/>
  <c r="Y128" i="11" s="1"/>
  <c r="U115" i="11"/>
  <c r="Y115" i="11" s="1"/>
  <c r="U150" i="11"/>
  <c r="Y150" i="11" s="1"/>
  <c r="U100" i="11"/>
  <c r="Y100" i="11" s="1"/>
  <c r="U103" i="11"/>
  <c r="Y103" i="11" s="1"/>
  <c r="U174" i="11"/>
  <c r="Y174" i="11" s="1"/>
  <c r="U161" i="11"/>
  <c r="Y161" i="11" s="1"/>
  <c r="U93" i="11"/>
  <c r="Y93" i="11" s="1"/>
  <c r="U95" i="11"/>
  <c r="Y95" i="11" s="1"/>
  <c r="U118" i="11"/>
  <c r="Y118" i="11" s="1"/>
  <c r="U164" i="11"/>
  <c r="Y164" i="11" s="1"/>
  <c r="U156" i="11"/>
  <c r="Y156" i="11" s="1"/>
  <c r="U116" i="11"/>
  <c r="Y116" i="11" s="1"/>
  <c r="U140" i="11"/>
  <c r="Y140" i="11" s="1"/>
  <c r="U129" i="11"/>
  <c r="Y129" i="11" s="1"/>
  <c r="U137" i="11"/>
  <c r="Y137" i="11" s="1"/>
  <c r="A68" i="8" l="1"/>
  <c r="G77" i="8" l="1"/>
  <c r="K68" i="8"/>
  <c r="G91" i="8"/>
  <c r="G84" i="8"/>
  <c r="A69" i="8" l="1"/>
  <c r="G78" i="8" l="1"/>
  <c r="G92" i="8"/>
  <c r="K69" i="8"/>
  <c r="A70" i="8" l="1"/>
  <c r="G79" i="8" l="1"/>
  <c r="K70" i="8"/>
  <c r="G93" i="8"/>
  <c r="A71" i="8" l="1"/>
  <c r="K71" i="8" l="1"/>
  <c r="G80" i="8"/>
  <c r="G94" i="8"/>
  <c r="E13" i="3"/>
  <c r="E15" i="3"/>
  <c r="T50" i="8"/>
  <c r="T36" i="8"/>
  <c r="P40" i="8"/>
  <c r="H50" i="8"/>
  <c r="P43" i="8"/>
  <c r="H59" i="8"/>
  <c r="H35" i="8"/>
  <c r="T38" i="8"/>
  <c r="P47" i="8"/>
  <c r="T47" i="8"/>
  <c r="P51" i="8"/>
  <c r="L53" i="8"/>
  <c r="H37" i="8"/>
  <c r="L48" i="8"/>
  <c r="T52" i="8"/>
  <c r="H62" i="8"/>
  <c r="P53" i="8"/>
  <c r="P59" i="8"/>
  <c r="P35" i="8"/>
  <c r="T63" i="8"/>
  <c r="L40" i="8"/>
  <c r="H40" i="8"/>
  <c r="L63" i="8"/>
  <c r="L46" i="8"/>
  <c r="H54" i="8"/>
  <c r="P62" i="8"/>
  <c r="T48" i="8"/>
  <c r="T56" i="8"/>
  <c r="P46" i="8"/>
  <c r="H61" i="8"/>
  <c r="H48" i="8"/>
  <c r="T42" i="8"/>
  <c r="P49" i="8"/>
  <c r="P50" i="8"/>
  <c r="P54" i="8"/>
  <c r="L56" i="8"/>
  <c r="P56" i="8"/>
  <c r="H36" i="8"/>
  <c r="T53" i="8"/>
  <c r="T60" i="8"/>
  <c r="L45" i="8"/>
  <c r="H38" i="8"/>
  <c r="P45" i="8"/>
  <c r="T49" i="8"/>
  <c r="H45" i="8"/>
  <c r="T41" i="8"/>
  <c r="H46" i="8" l="1"/>
  <c r="P58" i="8"/>
  <c r="P55" i="8"/>
  <c r="T61" i="8"/>
  <c r="L54" i="8"/>
  <c r="L37" i="8"/>
  <c r="H55" i="8"/>
  <c r="H42" i="8"/>
  <c r="H43" i="8"/>
  <c r="H60" i="8"/>
  <c r="T46" i="8"/>
  <c r="L61" i="8"/>
  <c r="P61" i="8"/>
  <c r="L62" i="8"/>
  <c r="T54" i="8"/>
  <c r="T55" i="8"/>
  <c r="L58" i="8"/>
  <c r="T40" i="8"/>
  <c r="L35" i="8"/>
  <c r="L55" i="8"/>
  <c r="L44" i="8"/>
  <c r="L42" i="8"/>
  <c r="P57" i="8"/>
  <c r="T58" i="8"/>
  <c r="L59" i="8"/>
  <c r="P60" i="8"/>
  <c r="L36" i="8"/>
  <c r="T62" i="8"/>
  <c r="L38" i="8"/>
  <c r="P36" i="8"/>
  <c r="L51" i="8"/>
  <c r="P48" i="8"/>
  <c r="T35" i="8"/>
  <c r="H53" i="8"/>
  <c r="H57" i="8"/>
  <c r="H56" i="8"/>
  <c r="H58" i="8"/>
  <c r="H47" i="8"/>
  <c r="L57" i="8"/>
  <c r="H49" i="8"/>
  <c r="H39" i="8"/>
  <c r="T59" i="8"/>
  <c r="L41" i="8"/>
  <c r="P39" i="8"/>
  <c r="H51" i="8"/>
  <c r="L43" i="8"/>
  <c r="P37" i="8"/>
  <c r="L49" i="8"/>
  <c r="L39" i="8"/>
  <c r="P41" i="8"/>
  <c r="T37" i="8"/>
  <c r="H63" i="8"/>
  <c r="L50" i="8"/>
  <c r="H44" i="8"/>
  <c r="T39" i="8"/>
  <c r="H41" i="8"/>
  <c r="P38" i="8"/>
  <c r="P63" i="8"/>
  <c r="L52" i="8"/>
  <c r="T57" i="8"/>
  <c r="T44" i="8"/>
  <c r="P42" i="8"/>
  <c r="P52" i="8"/>
  <c r="H52" i="8"/>
  <c r="L60" i="8"/>
  <c r="T45" i="8"/>
  <c r="T43" i="8"/>
  <c r="P44" i="8"/>
  <c r="L47" i="8"/>
  <c r="T51" i="8"/>
  <c r="E14" i="3"/>
  <c r="B68" i="8" l="1"/>
  <c r="I68" i="8" s="1"/>
  <c r="B70" i="8"/>
  <c r="B69" i="8"/>
  <c r="B71" i="8"/>
  <c r="I71" i="8" s="1"/>
  <c r="H71" i="8" l="1"/>
  <c r="D71" i="8"/>
  <c r="E71" i="8"/>
  <c r="C71" i="8"/>
  <c r="F71" i="8"/>
  <c r="C68" i="8"/>
  <c r="E68" i="8"/>
  <c r="H68" i="8"/>
  <c r="D68" i="8"/>
  <c r="E69" i="8"/>
  <c r="D69" i="8"/>
  <c r="I69" i="8"/>
  <c r="C69" i="8"/>
  <c r="F69" i="8"/>
  <c r="H69" i="8"/>
  <c r="F68" i="8"/>
  <c r="I70" i="8"/>
  <c r="F70" i="8"/>
  <c r="D70" i="8"/>
  <c r="H70" i="8"/>
  <c r="E70" i="8"/>
  <c r="C70" i="8"/>
  <c r="J71" i="8" l="1"/>
  <c r="H80" i="8" s="1"/>
  <c r="K80" i="8" s="1"/>
  <c r="L80" i="8" s="1"/>
  <c r="G71" i="8"/>
  <c r="I94" i="8" s="1"/>
  <c r="J94" i="8" s="1"/>
  <c r="J68" i="8"/>
  <c r="H77" i="8" s="1"/>
  <c r="K77" i="8" s="1"/>
  <c r="L77" i="8" s="1"/>
  <c r="G69" i="8"/>
  <c r="I78" i="8" s="1"/>
  <c r="J78" i="8" s="1"/>
  <c r="G68" i="8"/>
  <c r="I91" i="8" s="1"/>
  <c r="J91" i="8" s="1"/>
  <c r="J69" i="8"/>
  <c r="H92" i="8" s="1"/>
  <c r="K92" i="8" s="1"/>
  <c r="L92" i="8" s="1"/>
  <c r="H91" i="8"/>
  <c r="K91" i="8" s="1"/>
  <c r="L91" i="8" s="1"/>
  <c r="H84" i="8"/>
  <c r="K84" i="8" s="1"/>
  <c r="L84" i="8" s="1"/>
  <c r="G70" i="8"/>
  <c r="I79" i="8" s="1"/>
  <c r="J79" i="8" s="1"/>
  <c r="J70" i="8"/>
  <c r="S94" i="8"/>
  <c r="I87" i="8" l="1"/>
  <c r="S87" i="8" s="1"/>
  <c r="H94" i="8"/>
  <c r="K94" i="8" s="1"/>
  <c r="L94" i="8" s="1"/>
  <c r="H87" i="8"/>
  <c r="K87" i="8" s="1"/>
  <c r="L87" i="8" s="1"/>
  <c r="I80" i="8"/>
  <c r="J80" i="8" s="1"/>
  <c r="M80" i="8" s="1"/>
  <c r="N80" i="8" s="1"/>
  <c r="I84" i="8"/>
  <c r="S84" i="8" s="1"/>
  <c r="H85" i="8"/>
  <c r="K85" i="8" s="1"/>
  <c r="L85" i="8" s="1"/>
  <c r="I85" i="8"/>
  <c r="J85" i="8" s="1"/>
  <c r="I92" i="8"/>
  <c r="J92" i="8" s="1"/>
  <c r="M92" i="8" s="1"/>
  <c r="N92" i="8" s="1"/>
  <c r="O92" i="8" s="1"/>
  <c r="P92" i="8" s="1"/>
  <c r="I77" i="8"/>
  <c r="J77" i="8" s="1"/>
  <c r="M77" i="8" s="1"/>
  <c r="N77" i="8" s="1"/>
  <c r="I93" i="8"/>
  <c r="S93" i="8" s="1"/>
  <c r="S79" i="8"/>
  <c r="H78" i="8"/>
  <c r="K78" i="8" s="1"/>
  <c r="L78" i="8" s="1"/>
  <c r="S91" i="8"/>
  <c r="S80" i="8"/>
  <c r="S78" i="8"/>
  <c r="I86" i="8"/>
  <c r="J86" i="8" s="1"/>
  <c r="H86" i="8"/>
  <c r="K86" i="8" s="1"/>
  <c r="L86" i="8" s="1"/>
  <c r="H93" i="8"/>
  <c r="K93" i="8" s="1"/>
  <c r="L93" i="8" s="1"/>
  <c r="H79" i="8"/>
  <c r="K79" i="8" s="1"/>
  <c r="L79" i="8" s="1"/>
  <c r="M79" i="8" s="1"/>
  <c r="N79" i="8" s="1"/>
  <c r="M91" i="8"/>
  <c r="N91" i="8" s="1"/>
  <c r="M94" i="8"/>
  <c r="N94" i="8" s="1"/>
  <c r="J84" i="8" l="1"/>
  <c r="M84" i="8" s="1"/>
  <c r="N84" i="8" s="1"/>
  <c r="J87" i="8"/>
  <c r="M87" i="8" s="1"/>
  <c r="N87" i="8" s="1"/>
  <c r="O87" i="8" s="1"/>
  <c r="P87" i="8" s="1"/>
  <c r="S85" i="8"/>
  <c r="S77" i="8"/>
  <c r="J93" i="8"/>
  <c r="M93" i="8" s="1"/>
  <c r="N93" i="8" s="1"/>
  <c r="O93" i="8" s="1"/>
  <c r="P93" i="8" s="1"/>
  <c r="S92" i="8"/>
  <c r="M85" i="8"/>
  <c r="N85" i="8" s="1"/>
  <c r="O85" i="8" s="1"/>
  <c r="P85" i="8" s="1"/>
  <c r="Q85" i="8" s="1"/>
  <c r="M78" i="8"/>
  <c r="N78" i="8" s="1"/>
  <c r="O78" i="8" s="1"/>
  <c r="P78" i="8" s="1"/>
  <c r="M86" i="8"/>
  <c r="N86" i="8" s="1"/>
  <c r="O86" i="8" s="1"/>
  <c r="P86" i="8" s="1"/>
  <c r="S86" i="8"/>
  <c r="Q92" i="8"/>
  <c r="R92" i="8"/>
  <c r="O80" i="8"/>
  <c r="P80" i="8" s="1"/>
  <c r="O91" i="8"/>
  <c r="P91" i="8" s="1"/>
  <c r="O84" i="8"/>
  <c r="P84" i="8" s="1"/>
  <c r="O94" i="8"/>
  <c r="P94" i="8" s="1"/>
  <c r="O77" i="8"/>
  <c r="P77" i="8" s="1"/>
  <c r="O79" i="8"/>
  <c r="P79" i="8" s="1"/>
  <c r="T92" i="8" l="1"/>
  <c r="R85" i="8"/>
  <c r="T85" i="8" s="1"/>
  <c r="Q78" i="8"/>
  <c r="R78" i="8"/>
  <c r="T78" i="8" s="1"/>
  <c r="Q91" i="8"/>
  <c r="R91" i="8"/>
  <c r="T91" i="8" s="1"/>
  <c r="Q87" i="8"/>
  <c r="R87" i="8"/>
  <c r="T87" i="8" s="1"/>
  <c r="Q93" i="8"/>
  <c r="R93" i="8"/>
  <c r="T93" i="8" s="1"/>
  <c r="Q79" i="8"/>
  <c r="R79" i="8"/>
  <c r="T79" i="8" s="1"/>
  <c r="Q80" i="8"/>
  <c r="R80" i="8"/>
  <c r="T80" i="8" s="1"/>
  <c r="Q86" i="8"/>
  <c r="R86" i="8"/>
  <c r="T86" i="8" s="1"/>
  <c r="Q77" i="8"/>
  <c r="R77" i="8"/>
  <c r="T77" i="8" s="1"/>
  <c r="Q94" i="8"/>
  <c r="R94" i="8"/>
  <c r="T94" i="8" s="1"/>
  <c r="Q84" i="8"/>
  <c r="R84" i="8"/>
  <c r="T84" i="8" s="1"/>
</calcChain>
</file>

<file path=xl/sharedStrings.xml><?xml version="1.0" encoding="utf-8"?>
<sst xmlns="http://schemas.openxmlformats.org/spreadsheetml/2006/main" count="303" uniqueCount="157">
  <si>
    <t>watts</t>
  </si>
  <si>
    <t>m/s</t>
  </si>
  <si>
    <t>thrust</t>
  </si>
  <si>
    <t>N</t>
  </si>
  <si>
    <t>D1</t>
  </si>
  <si>
    <t>D2</t>
  </si>
  <si>
    <t>D3</t>
  </si>
  <si>
    <t>D4</t>
  </si>
  <si>
    <t>RPM1</t>
  </si>
  <si>
    <t>RPM2</t>
  </si>
  <si>
    <t>RPM</t>
  </si>
  <si>
    <t>thrust 1</t>
  </si>
  <si>
    <t>thrust 2</t>
  </si>
  <si>
    <t>power 1</t>
  </si>
  <si>
    <t>power 2</t>
  </si>
  <si>
    <t>Kv</t>
  </si>
  <si>
    <t>I0</t>
  </si>
  <si>
    <t>Rm</t>
  </si>
  <si>
    <t>gear ratio</t>
  </si>
  <si>
    <t>efficiency</t>
  </si>
  <si>
    <t>m</t>
  </si>
  <si>
    <t>Cobra CM-4510-40</t>
  </si>
  <si>
    <t>J (advance ratio)</t>
  </si>
  <si>
    <t>CT (thrust coefficient)</t>
  </si>
  <si>
    <t>CP (power coefficient)</t>
  </si>
  <si>
    <t>dimensionless propeller performance numbers</t>
  </si>
  <si>
    <t>motor name:</t>
  </si>
  <si>
    <t>row number in table above</t>
  </si>
  <si>
    <t>motor efficiency</t>
  </si>
  <si>
    <t>propeller shaft torque</t>
  </si>
  <si>
    <t>propeller diameter (m)</t>
  </si>
  <si>
    <t>water density</t>
  </si>
  <si>
    <t>in</t>
  </si>
  <si>
    <t>effective current</t>
  </si>
  <si>
    <t>propeller diameter (in.)</t>
  </si>
  <si>
    <t>gearbox efficiency</t>
  </si>
  <si>
    <t>motor RPM</t>
  </si>
  <si>
    <t>Maxon 634043</t>
  </si>
  <si>
    <t>Maxon 488607</t>
  </si>
  <si>
    <t>propeller shaft power</t>
  </si>
  <si>
    <t>propeller efficiency</t>
  </si>
  <si>
    <t>total efficiency</t>
  </si>
  <si>
    <t>thrust (N)</t>
  </si>
  <si>
    <t>speed (m/s)</t>
  </si>
  <si>
    <t>D</t>
  </si>
  <si>
    <t xml:space="preserve">RPM </t>
  </si>
  <si>
    <t>RPM column in table above</t>
  </si>
  <si>
    <t>thrust (lb)</t>
  </si>
  <si>
    <t>title</t>
  </si>
  <si>
    <r>
      <t>m</t>
    </r>
    <r>
      <rPr>
        <vertAlign val="superscript"/>
        <sz val="11"/>
        <color theme="1"/>
        <rFont val="Calibri"/>
        <family val="2"/>
        <scheme val="minor"/>
      </rPr>
      <t>2</t>
    </r>
  </si>
  <si>
    <t>lbf</t>
  </si>
  <si>
    <t>knots</t>
  </si>
  <si>
    <r>
      <t>in</t>
    </r>
    <r>
      <rPr>
        <vertAlign val="superscript"/>
        <sz val="11"/>
        <color theme="1"/>
        <rFont val="Calibri"/>
        <family val="2"/>
        <scheme val="minor"/>
      </rPr>
      <t>2</t>
    </r>
  </si>
  <si>
    <r>
      <t>kg/m</t>
    </r>
    <r>
      <rPr>
        <vertAlign val="superscript"/>
        <sz val="11"/>
        <color theme="1"/>
        <rFont val="Calibri"/>
        <family val="2"/>
        <scheme val="minor"/>
      </rPr>
      <t>3</t>
    </r>
  </si>
  <si>
    <t>Imperial</t>
  </si>
  <si>
    <t>Metric</t>
  </si>
  <si>
    <t>units</t>
  </si>
  <si>
    <r>
      <t>lb/ft</t>
    </r>
    <r>
      <rPr>
        <vertAlign val="superscript"/>
        <sz val="11"/>
        <color theme="1"/>
        <rFont val="Calibri"/>
        <family val="2"/>
        <scheme val="minor"/>
      </rPr>
      <t>3</t>
    </r>
  </si>
  <si>
    <t>propeller diameter</t>
  </si>
  <si>
    <t>ESC efficiency</t>
  </si>
  <si>
    <t>propeller RPM 1</t>
  </si>
  <si>
    <t>propeller RPM 2</t>
  </si>
  <si>
    <t>propeller RPM</t>
  </si>
  <si>
    <t>motor voltage</t>
  </si>
  <si>
    <t>motor current</t>
  </si>
  <si>
    <t>motor electrical power</t>
  </si>
  <si>
    <t>motor + ESC electrical power</t>
  </si>
  <si>
    <t>propeller shaft power 1</t>
  </si>
  <si>
    <t>propeller shaft power 2</t>
  </si>
  <si>
    <t>motor shaft power</t>
  </si>
  <si>
    <t>propeller coefficients</t>
  </si>
  <si>
    <t>Propeller Diameter</t>
  </si>
  <si>
    <t>Speeds</t>
  </si>
  <si>
    <t>motor + ESC efficiency</t>
  </si>
  <si>
    <t>motor torque</t>
  </si>
  <si>
    <t>RPM/volt</t>
  </si>
  <si>
    <t>Nm</t>
  </si>
  <si>
    <t>volts</t>
  </si>
  <si>
    <t>amps</t>
  </si>
  <si>
    <t>motor torque constant</t>
  </si>
  <si>
    <t>Nm/amp</t>
  </si>
  <si>
    <t>Speed constant Kv</t>
  </si>
  <si>
    <r>
      <t>No-load current I</t>
    </r>
    <r>
      <rPr>
        <vertAlign val="subscript"/>
        <sz val="11"/>
        <color theme="1"/>
        <rFont val="Calibri"/>
        <family val="2"/>
        <scheme val="minor"/>
      </rPr>
      <t>0</t>
    </r>
  </si>
  <si>
    <r>
      <t>Winding Resistance R</t>
    </r>
    <r>
      <rPr>
        <vertAlign val="subscript"/>
        <sz val="11"/>
        <color theme="1"/>
        <rFont val="Calibri"/>
        <family val="2"/>
        <scheme val="minor"/>
      </rPr>
      <t>m</t>
    </r>
  </si>
  <si>
    <t>effective voltage</t>
  </si>
  <si>
    <t>ohms</t>
  </si>
  <si>
    <t>Motor name</t>
  </si>
  <si>
    <t>Notes</t>
  </si>
  <si>
    <t>Assumptions:</t>
  </si>
  <si>
    <t>Operating Point</t>
  </si>
  <si>
    <t>propulsive power</t>
  </si>
  <si>
    <t>Calculated drag and propulsive power</t>
  </si>
  <si>
    <t>Motor constants</t>
  </si>
  <si>
    <t>If no gearbox, enter "1".</t>
  </si>
  <si>
    <t>If no gearbox, enter "1".  If using a gearbox, keep in mind that gearbox efficiency is highly dependent on loading.  Peak efficiency occurs at high loading; at low loads, gearbox efficiency will be much lower.</t>
  </si>
  <si>
    <t>It can be difficult to find published ESC efficiencies, but numbers from 0.80 to 0.95 seem reasonable.</t>
  </si>
  <si>
    <t>See datasheet for your motor.</t>
  </si>
  <si>
    <t>ESC efficiency is constant (no attempt made to account for differences in ESC efficiency as speed or loading change).</t>
  </si>
  <si>
    <t>Propeller diameter 1</t>
  </si>
  <si>
    <t>Propeller diameter 2</t>
  </si>
  <si>
    <t>Propeller diameter 3</t>
  </si>
  <si>
    <t>Propeller diameter 4</t>
  </si>
  <si>
    <t>Use 1000 for fresh water or 1025 for seawater.</t>
  </si>
  <si>
    <t>Gearbox efficiency is constant (no attempt made to account for differences in gearbox efficiency as speed or loading change).</t>
  </si>
  <si>
    <t>static thrust*</t>
  </si>
  <si>
    <t>Tab Description</t>
  </si>
  <si>
    <t>output RPM</t>
  </si>
  <si>
    <t>output shaft power</t>
  </si>
  <si>
    <t>The shaft power at the gearbox output (if no gearbox, this is equal to the motor shaft power).</t>
  </si>
  <si>
    <t>The RPM of the gearbox output shaft (if no gearbox, this is equal to the motor RPM).</t>
  </si>
  <si>
    <t>Calculated values.</t>
  </si>
  <si>
    <t>This tab performs a simplified analysis of a brushless motor at a single operating point.  Specify the RPM and shaft power in the yellow cells and read the calculated values below.</t>
  </si>
  <si>
    <t>These motor parameters are copied from the "Inputs" tab.</t>
  </si>
  <si>
    <t>Propeller diameters</t>
  </si>
  <si>
    <t>Brushless DC motor.</t>
  </si>
  <si>
    <r>
      <t xml:space="preserve">This tab is where you enter the basic parameters for the vehicle drag, propeller diameter, and brushless motor.  These parameters will be used on the other tabs to calculate the performance of your system.  Also specify the propeller coefficients on the "Propeller Data" tab.  Enter data in </t>
    </r>
    <r>
      <rPr>
        <b/>
        <sz val="11"/>
        <rFont val="Calibri"/>
        <family val="2"/>
        <scheme val="minor"/>
      </rPr>
      <t>yellow</t>
    </r>
    <r>
      <rPr>
        <b/>
        <sz val="11"/>
        <color theme="1"/>
        <rFont val="Calibri"/>
        <family val="2"/>
        <scheme val="minor"/>
      </rPr>
      <t xml:space="preserve"> cells.</t>
    </r>
  </si>
  <si>
    <t>vehicle frontal area</t>
  </si>
  <si>
    <t>The frontal area of the portion of the vehicle underwater.</t>
  </si>
  <si>
    <t>vehicle drag coefficient</t>
  </si>
  <si>
    <r>
      <t xml:space="preserve">The drag coefficient of the vehicle </t>
    </r>
    <r>
      <rPr>
        <i/>
        <sz val="11"/>
        <color theme="1"/>
        <rFont val="Calibri"/>
        <family val="2"/>
        <scheme val="minor"/>
      </rPr>
      <t>based on frontal area</t>
    </r>
    <r>
      <rPr>
        <sz val="11"/>
        <color theme="1"/>
        <rFont val="Calibri"/>
        <family val="2"/>
        <scheme val="minor"/>
      </rPr>
      <t>.  Calculation of drag assume that drag=0.5*(water density)*(speed)</t>
    </r>
    <r>
      <rPr>
        <vertAlign val="superscript"/>
        <sz val="11"/>
        <color theme="1"/>
        <rFont val="Calibri"/>
        <family val="2"/>
        <scheme val="minor"/>
      </rPr>
      <t>2</t>
    </r>
    <r>
      <rPr>
        <sz val="11"/>
        <color theme="1"/>
        <rFont val="Calibri"/>
        <family val="2"/>
        <scheme val="minor"/>
      </rPr>
      <t>*(drag coefficient)*(frontal area).  For boats, this will only be accurate at speeds well below the hull speed.</t>
    </r>
  </si>
  <si>
    <t>*EITHER enter a non-zero speed OR enter 0 and specify a static thrust below.</t>
  </si>
  <si>
    <t>vehicle speed*</t>
  </si>
  <si>
    <t>vehicle drag</t>
  </si>
  <si>
    <r>
      <t>vehicle drag=0.5*(water density)*(speed)</t>
    </r>
    <r>
      <rPr>
        <vertAlign val="superscript"/>
        <sz val="11"/>
        <color theme="1"/>
        <rFont val="Calibri"/>
        <family val="2"/>
        <scheme val="minor"/>
      </rPr>
      <t>2</t>
    </r>
    <r>
      <rPr>
        <sz val="11"/>
        <color theme="1"/>
        <rFont val="Calibri"/>
        <family val="2"/>
        <scheme val="minor"/>
      </rPr>
      <t>*(drag coefficient)*(frontal area)</t>
    </r>
  </si>
  <si>
    <t>If "vehicle speed" is 0, thrust will be set equal to "specified thrust".  Otherwise, it will be set equal to "vehicle drag."</t>
  </si>
  <si>
    <t>Vehicle drag is equal to 0.5*(water density)*(boat speed)2*(drag coefficient)*(frontal area).  For boats, this will only be reasonable at speeds well below the hull speed.</t>
  </si>
  <si>
    <t>vehicle speed (m/s)</t>
  </si>
  <si>
    <t>There must be 30 rows of J, CT, and CP in the table below:</t>
  </si>
  <si>
    <t>0 (static)</t>
  </si>
  <si>
    <t>Must input 7 speeds, with the first speed being 0.</t>
  </si>
  <si>
    <t>v = 0.0 (static)</t>
  </si>
  <si>
    <t>Enter parameters for up to 3 different motors.  Note that on the "Power Draw vs. Thrust" tab, only the first of these three motors is analyzed.</t>
  </si>
  <si>
    <t>This tab is where you enter the coefficients for your propeller.  It can be difficult to find this data; you may have to use a propeller-analysis tool such as XRotor to get it.  
If you are using an airplane-style propeller, you can find data for propellers from APC (a manufacturer of propellers for R/C aircraft) at https://www.apcprop.com/technical-information/performance-data/.  They give data for various propellers running in air at several different RPMs; use the highest-RPM data they give, as that will give the best match of Reynolds number for the propeller running in water.  Many of these propellers are suitable for AUVs, ASVs, and other relatively high-efficiency, low-power applications.  Even if you do not use one of their propellers, the coefficients may be representative of your propeller if your propeller is airplane-like.  
Enter the advance ratio, thrust coefficents, and power coefficients in the yellow cells.
Since propeller coefficients are dimensionless, this data can be applied to any propeller diameter as long as the shape of the propeller (diameter-to-pitch ratio, blade chord and pitch distribution, sweep, airfoil, etc.) is equivalent, and neglecting Reynolds number effects.  For example, propeller data for a 9X3 propeller (9 inches diameter, 3 inches pitch) can scaled up to a 18x6 propeller if the larger propeller is of the same shape, but cannot be used for a 9x6 propeller.  The coefficients entered on this tab are used in conjuction with the propeller diameters entered on the "Inputs" tab to obtain the performance data on the "Propeller Sizing" and "Power Draw vs. Thrust" tabs.</t>
  </si>
  <si>
    <t>static (v=0)</t>
  </si>
  <si>
    <t>row number in propeller table above to match desired thrust</t>
  </si>
  <si>
    <t>propeller shaft power (watts)</t>
  </si>
  <si>
    <t>This tab is used to select the right propeller size (diameter) for your application.  It analyzes the total power draw of your system at the particular operating point (vehicle speed and thrust) as a function of propeller diameter.  It also shows the motor voltage.  Often the propeller size that gives the lowest power draw will require a voltage that is lower than practical for your application.  Thus, choose a propeller diameter based on both the resulting power draw and the required motor voltage.</t>
  </si>
  <si>
    <t>Interpolate values in table above to find the RPM and propeller shaft power at the operating thrust:</t>
  </si>
  <si>
    <t>At the propeller RPM and shaft power calculated above, find the motor voltage, power, efficiency, etc.:</t>
  </si>
  <si>
    <t xml:space="preserve">At each of the specified speeds, find values of RPM, power, and thrust for the specified propeller diameter: </t>
  </si>
  <si>
    <t>Interpolate values in table above to find the RPM, power, etc. as a function of thrust:</t>
  </si>
  <si>
    <t>Use this tab after you have selected the right propeller diameter using the "Propeller Sizing" tab.  Enter the selected propeller diameter in the first yellow cell below.
Also enter vehicle speeds to analyze.  Make your first speed equal to 0 (to give static thrust).  The total power draw will be calculated at each of those speeds, and plotted as a function of thrust.
The motor parameters used are from the FIRST of the three motors that you specified on the "Inputs" tab.  So move your preferred motor to the first position to analyze it.
Because these calculations do not depend at all on the vehicle drag, they are useful for isolating the motor/propeller performance from the rest of your system.
The plot of power draw vs. thrust at speed = 0 (static thrust) is commonly published by thruster manufacturers, so this is good for comparing your system to others.
You may also need to change the values of RPM and thrust highlighted in yellow in the tables below if the range of values is not appropriate for your application.</t>
  </si>
  <si>
    <t>vehicle speed</t>
  </si>
  <si>
    <t xml:space="preserve">At the specified vehicle speed, find values of RPM, power, and thrust for the specified propeller diameters: </t>
  </si>
  <si>
    <t>Power Draw chart title</t>
  </si>
  <si>
    <t>Motor Voltage chart title</t>
  </si>
  <si>
    <t>Chart title</t>
  </si>
  <si>
    <t>Enter 4 different propeller diameters to analyze.  These will be used on the "Propeller Sizing" tab to help you choose the right size of propeller.</t>
  </si>
  <si>
    <t>vehicle speed multiplied by drag</t>
  </si>
  <si>
    <t>*If you want to analyze propellers at the static thrust condition (vehicle speed = 0), enter a specified thrust here and set "vehicle speed" to 0.</t>
  </si>
  <si>
    <t>ROV AUV ASV Thruster Calcs.xls Rev 1.0, November 2019.  Courtesy of Blue Trail Engineering, www.bluetrailengineering.com.</t>
  </si>
  <si>
    <t>This spreadsheet is designed to help you choose a motor and propeller for your ROV, ASV, AUV, or other propeller-driven vehicle.
1. Specify your desired operating point and different motors and propeller sizes to analyze on the "Inputs" tab.
2. Enter a table of propeller coefficients on the "Propeller Data" tab.
3. Choose a propeller size for best performance at your desired operating point using the "Propeller Sizing" tab.
4. Examine performance at different speeds on the "Power Draw vs. Thrust" tab.
5. For simplified motor analysis only (without propeller), use the "Basic Motor Performance Tool" tab.</t>
  </si>
  <si>
    <t>Motor controller (ESC) is at full throttle.</t>
  </si>
  <si>
    <t>source</t>
  </si>
  <si>
    <t>Propeller name</t>
  </si>
  <si>
    <t>APC 9x3</t>
  </si>
  <si>
    <t>apcprop.com/files/PER3_9x3.dat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</si>
</sst>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0.0"/>
  </numFmts>
  <fonts count="12">
    <font>
      <sz val="11"/>
      <color theme="1"/>
      <name val="Calibri"/>
      <family val="2"/>
      <scheme val="minor"/>
    </font>
    <font>
      <sz val="10"/>
      <color rgb="FF000000"/>
      <name val="Arial Unicode MS"/>
      <family val="2"/>
    </font>
    <font>
      <b/>
      <sz val="11"/>
      <color theme="1"/>
      <name val="Calibri"/>
      <family val="2"/>
      <scheme val="minor"/>
    </font>
    <font>
      <sz val="11"/>
      <name val="Calibri"/>
      <family val="2"/>
      <scheme val="minor"/>
    </font>
    <font>
      <vertAlign val="superscript"/>
      <sz val="11"/>
      <color theme="1"/>
      <name val="Calibri"/>
      <family val="2"/>
      <scheme val="minor"/>
    </font>
    <font>
      <vertAlign val="subscript"/>
      <sz val="11"/>
      <color theme="1"/>
      <name val="Calibri"/>
      <family val="2"/>
      <scheme val="minor"/>
    </font>
    <font>
      <sz val="8"/>
      <name val="Calibri"/>
      <family val="2"/>
      <scheme val="minor"/>
    </font>
    <font>
      <i/>
      <sz val="11"/>
      <color theme="1"/>
      <name val="Calibri"/>
      <family val="2"/>
      <scheme val="minor"/>
    </font>
    <font>
      <b/>
      <sz val="11"/>
      <name val="Calibri"/>
      <family val="2"/>
      <scheme val="minor"/>
    </font>
    <font>
      <b/>
      <i/>
      <sz val="11"/>
      <color theme="1"/>
      <name val="Calibri"/>
      <family val="2"/>
      <scheme val="minor"/>
    </font>
    <font>
      <b/>
      <sz val="10"/>
      <color rgb="FF000000"/>
      <name val="Arial Unicode MS"/>
      <family val="2"/>
    </font>
    <font>
      <b/>
      <sz val="11"/>
      <color rgb="FF00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135">
    <xf numFmtId="0" fontId="0" fillId="0" borderId="0" xfId="0"/>
    <xf numFmtId="0" fontId="1" fillId="0" borderId="0" xfId="0" applyFont="1" applyAlignment="1">
      <alignment vertical="center"/>
    </xf>
    <xf numFmtId="0" fontId="0" fillId="0" borderId="0" xfId="0" applyAlignment="1">
      <alignment wrapText="1"/>
    </xf>
    <xf numFmtId="0" fontId="0" fillId="2" borderId="0" xfId="0" applyFill="1"/>
    <xf numFmtId="0" fontId="2" fillId="0" borderId="0" xfId="0" applyFont="1" applyAlignment="1">
      <alignment wrapText="1"/>
    </xf>
    <xf numFmtId="0" fontId="2" fillId="0" borderId="0" xfId="0" applyFont="1"/>
    <xf numFmtId="0" fontId="0" fillId="0" borderId="1" xfId="0" applyBorder="1" applyAlignment="1">
      <alignment wrapText="1"/>
    </xf>
    <xf numFmtId="0" fontId="0" fillId="0" borderId="1" xfId="0" applyBorder="1"/>
    <xf numFmtId="0" fontId="0" fillId="0" borderId="0" xfId="0" applyAlignment="1"/>
    <xf numFmtId="0" fontId="0" fillId="0" borderId="0" xfId="0" applyFont="1"/>
    <xf numFmtId="2" fontId="0" fillId="0" borderId="0" xfId="0" applyNumberFormat="1"/>
    <xf numFmtId="0" fontId="0" fillId="3" borderId="0" xfId="0" applyFill="1"/>
    <xf numFmtId="0" fontId="0" fillId="2" borderId="1" xfId="0" applyFill="1" applyBorder="1"/>
    <xf numFmtId="0" fontId="0" fillId="0" borderId="4"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2" borderId="8" xfId="0" applyFill="1" applyBorder="1"/>
    <xf numFmtId="0" fontId="0" fillId="2" borderId="10" xfId="0" applyFill="1" applyBorder="1"/>
    <xf numFmtId="0" fontId="0" fillId="2" borderId="11" xfId="0" applyFill="1" applyBorder="1"/>
    <xf numFmtId="0" fontId="0" fillId="2" borderId="3" xfId="0" applyFill="1" applyBorder="1"/>
    <xf numFmtId="0" fontId="0" fillId="2" borderId="19" xfId="0" applyFill="1" applyBorder="1"/>
    <xf numFmtId="0" fontId="0" fillId="0" borderId="21" xfId="0" applyBorder="1"/>
    <xf numFmtId="0" fontId="0" fillId="0" borderId="23" xfId="0" applyBorder="1"/>
    <xf numFmtId="0" fontId="0" fillId="0" borderId="24" xfId="0" applyBorder="1"/>
    <xf numFmtId="0" fontId="2" fillId="0" borderId="0" xfId="0" applyFont="1" applyFill="1"/>
    <xf numFmtId="0" fontId="2" fillId="0" borderId="1" xfId="0" applyFont="1" applyBorder="1"/>
    <xf numFmtId="0" fontId="0" fillId="2" borderId="0" xfId="0" applyFont="1" applyFill="1"/>
    <xf numFmtId="0" fontId="2" fillId="0" borderId="1" xfId="0" applyFont="1" applyBorder="1" applyAlignment="1">
      <alignment wrapText="1"/>
    </xf>
    <xf numFmtId="0" fontId="0" fillId="0" borderId="1" xfId="0" applyFont="1" applyBorder="1" applyAlignment="1">
      <alignment wrapText="1"/>
    </xf>
    <xf numFmtId="0" fontId="0" fillId="0" borderId="1" xfId="0" applyFont="1" applyBorder="1"/>
    <xf numFmtId="0" fontId="0" fillId="3" borderId="1" xfId="0" applyFill="1" applyBorder="1"/>
    <xf numFmtId="0" fontId="0" fillId="3" borderId="1" xfId="0" applyFont="1" applyFill="1" applyBorder="1"/>
    <xf numFmtId="0" fontId="0" fillId="0" borderId="26" xfId="0" applyFont="1" applyBorder="1"/>
    <xf numFmtId="0" fontId="0" fillId="3" borderId="26" xfId="0" applyFont="1" applyFill="1" applyBorder="1"/>
    <xf numFmtId="0" fontId="0" fillId="0" borderId="6" xfId="0" applyFont="1" applyBorder="1"/>
    <xf numFmtId="0" fontId="0" fillId="0" borderId="11" xfId="0" applyFont="1" applyBorder="1"/>
    <xf numFmtId="0" fontId="0" fillId="3" borderId="6" xfId="0" applyFont="1"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0" fillId="3" borderId="11" xfId="0" applyFont="1" applyFill="1" applyBorder="1"/>
    <xf numFmtId="0" fontId="0" fillId="3" borderId="11" xfId="0" applyFill="1" applyBorder="1"/>
    <xf numFmtId="0" fontId="0" fillId="3" borderId="12" xfId="0" applyFill="1" applyBorder="1"/>
    <xf numFmtId="166" fontId="0" fillId="0" borderId="6" xfId="0" applyNumberFormat="1" applyFont="1" applyBorder="1"/>
    <xf numFmtId="166" fontId="0" fillId="0" borderId="1" xfId="0" applyNumberFormat="1" applyFont="1" applyBorder="1"/>
    <xf numFmtId="166" fontId="0" fillId="0" borderId="11" xfId="0" applyNumberFormat="1" applyFont="1" applyBorder="1"/>
    <xf numFmtId="166" fontId="0" fillId="3" borderId="6" xfId="0" applyNumberFormat="1" applyFont="1" applyFill="1" applyBorder="1"/>
    <xf numFmtId="166" fontId="0" fillId="3" borderId="1" xfId="0" applyNumberFormat="1" applyFont="1" applyFill="1" applyBorder="1"/>
    <xf numFmtId="166" fontId="0" fillId="3" borderId="11" xfId="0" applyNumberFormat="1" applyFont="1" applyFill="1" applyBorder="1"/>
    <xf numFmtId="0" fontId="0" fillId="2" borderId="6" xfId="0" applyFont="1" applyFill="1" applyBorder="1"/>
    <xf numFmtId="0" fontId="0" fillId="2" borderId="1" xfId="0" applyFont="1" applyFill="1" applyBorder="1"/>
    <xf numFmtId="164" fontId="0" fillId="0" borderId="1" xfId="0" applyNumberFormat="1" applyBorder="1"/>
    <xf numFmtId="165" fontId="0" fillId="0" borderId="1" xfId="0" applyNumberFormat="1" applyBorder="1"/>
    <xf numFmtId="2" fontId="0" fillId="0" borderId="1" xfId="0" applyNumberFormat="1" applyBorder="1"/>
    <xf numFmtId="166" fontId="0" fillId="0" borderId="1" xfId="0" applyNumberFormat="1" applyBorder="1"/>
    <xf numFmtId="0" fontId="0" fillId="0" borderId="8" xfId="0" applyBorder="1" applyAlignment="1">
      <alignment wrapText="1"/>
    </xf>
    <xf numFmtId="0" fontId="0" fillId="0" borderId="9" xfId="0" applyBorder="1" applyAlignment="1">
      <alignment wrapText="1"/>
    </xf>
    <xf numFmtId="0" fontId="2" fillId="0" borderId="0" xfId="0" applyFont="1" applyBorder="1"/>
    <xf numFmtId="0" fontId="0" fillId="0" borderId="0" xfId="0" applyBorder="1"/>
    <xf numFmtId="0" fontId="0" fillId="0" borderId="0" xfId="0" applyBorder="1" applyAlignment="1">
      <alignment wrapText="1"/>
    </xf>
    <xf numFmtId="0" fontId="0" fillId="2" borderId="0" xfId="0" applyFill="1" applyBorder="1"/>
    <xf numFmtId="2" fontId="0" fillId="0" borderId="0" xfId="0" applyNumberFormat="1" applyBorder="1"/>
    <xf numFmtId="0" fontId="0" fillId="0" borderId="0" xfId="0" applyFill="1" applyBorder="1"/>
    <xf numFmtId="164" fontId="0" fillId="2" borderId="0" xfId="0" applyNumberFormat="1" applyFill="1" applyBorder="1"/>
    <xf numFmtId="0" fontId="0" fillId="2" borderId="0" xfId="0" applyFill="1" applyBorder="1" applyAlignment="1">
      <alignment wrapText="1"/>
    </xf>
    <xf numFmtId="0" fontId="3" fillId="2" borderId="0" xfId="0" applyFont="1" applyFill="1" applyBorder="1" applyAlignment="1">
      <alignment wrapText="1"/>
    </xf>
    <xf numFmtId="0" fontId="3" fillId="2" borderId="0" xfId="0" applyFont="1" applyFill="1" applyBorder="1"/>
    <xf numFmtId="0" fontId="3" fillId="0" borderId="0" xfId="0" applyFont="1" applyFill="1" applyBorder="1"/>
    <xf numFmtId="0" fontId="0" fillId="0" borderId="0" xfId="0" applyBorder="1" applyAlignment="1">
      <alignment horizontal="center"/>
    </xf>
    <xf numFmtId="0" fontId="2" fillId="0" borderId="0" xfId="0" applyFont="1" applyFill="1" applyBorder="1"/>
    <xf numFmtId="0" fontId="2" fillId="0" borderId="0" xfId="0" applyFont="1" applyBorder="1" applyAlignment="1">
      <alignment horizontal="left"/>
    </xf>
    <xf numFmtId="0" fontId="2" fillId="0" borderId="0" xfId="0" applyFont="1" applyBorder="1" applyAlignment="1"/>
    <xf numFmtId="2" fontId="0" fillId="0" borderId="0" xfId="0" applyNumberFormat="1" applyFill="1" applyBorder="1"/>
    <xf numFmtId="0" fontId="2" fillId="0" borderId="0" xfId="0" applyFont="1" applyBorder="1" applyAlignment="1">
      <alignment vertical="center"/>
    </xf>
    <xf numFmtId="0" fontId="2" fillId="0" borderId="0" xfId="0" applyFont="1" applyBorder="1" applyAlignment="1">
      <alignment horizontal="left" wrapText="1"/>
    </xf>
    <xf numFmtId="0" fontId="2" fillId="0" borderId="0" xfId="0" applyFont="1" applyBorder="1" applyAlignment="1">
      <alignment wrapText="1"/>
    </xf>
    <xf numFmtId="0" fontId="2" fillId="0" borderId="0" xfId="0" applyFont="1" applyBorder="1" applyAlignment="1">
      <alignment horizontal="center" wrapText="1"/>
    </xf>
    <xf numFmtId="0" fontId="9" fillId="0" borderId="0" xfId="0" applyFont="1"/>
    <xf numFmtId="0" fontId="2" fillId="0" borderId="2" xfId="0" applyFont="1" applyBorder="1" applyAlignment="1"/>
    <xf numFmtId="0" fontId="10" fillId="0" borderId="5" xfId="0" applyFont="1" applyBorder="1" applyAlignment="1">
      <alignment vertical="center" wrapText="1"/>
    </xf>
    <xf numFmtId="0" fontId="2" fillId="0" borderId="6" xfId="0" applyFont="1" applyBorder="1" applyAlignment="1">
      <alignment wrapText="1"/>
    </xf>
    <xf numFmtId="0" fontId="2" fillId="0" borderId="7" xfId="0" applyFont="1" applyBorder="1" applyAlignment="1">
      <alignment wrapText="1"/>
    </xf>
    <xf numFmtId="0" fontId="2" fillId="0" borderId="22" xfId="0" applyFont="1" applyBorder="1" applyAlignment="1">
      <alignment wrapText="1"/>
    </xf>
    <xf numFmtId="166" fontId="0" fillId="2" borderId="0" xfId="0" applyNumberFormat="1" applyFont="1" applyFill="1"/>
    <xf numFmtId="2" fontId="0" fillId="0" borderId="0" xfId="0" applyNumberFormat="1" applyFont="1"/>
    <xf numFmtId="0" fontId="0" fillId="0" borderId="0" xfId="0" applyFill="1" applyBorder="1" applyAlignment="1"/>
    <xf numFmtId="0" fontId="0" fillId="0" borderId="0" xfId="0" applyBorder="1" applyAlignment="1"/>
    <xf numFmtId="2" fontId="0" fillId="0" borderId="0" xfId="0" applyNumberFormat="1" applyFill="1" applyBorder="1" applyAlignment="1"/>
    <xf numFmtId="0" fontId="0" fillId="0" borderId="0" xfId="0" applyFont="1" applyBorder="1"/>
    <xf numFmtId="0" fontId="2" fillId="0" borderId="13" xfId="0" applyFont="1" applyBorder="1"/>
    <xf numFmtId="0" fontId="2" fillId="0" borderId="14" xfId="0" applyFont="1" applyBorder="1" applyAlignment="1">
      <alignment wrapText="1"/>
    </xf>
    <xf numFmtId="0" fontId="2" fillId="0" borderId="15" xfId="0" applyFont="1" applyBorder="1" applyAlignment="1">
      <alignment wrapText="1"/>
    </xf>
    <xf numFmtId="0" fontId="2" fillId="0" borderId="5" xfId="0" applyFont="1" applyBorder="1"/>
    <xf numFmtId="0" fontId="2" fillId="3" borderId="5" xfId="0" applyFont="1" applyFill="1" applyBorder="1"/>
    <xf numFmtId="0" fontId="0" fillId="4" borderId="6" xfId="0" applyFont="1" applyFill="1" applyBorder="1"/>
    <xf numFmtId="0" fontId="0" fillId="0" borderId="6" xfId="0" applyFont="1" applyFill="1" applyBorder="1"/>
    <xf numFmtId="166" fontId="0" fillId="0" borderId="0" xfId="0" applyNumberFormat="1" applyFont="1" applyFill="1"/>
    <xf numFmtId="0" fontId="11" fillId="0" borderId="5" xfId="0" applyFont="1" applyBorder="1" applyAlignment="1">
      <alignment vertical="center" wrapText="1"/>
    </xf>
    <xf numFmtId="0" fontId="2" fillId="0" borderId="18" xfId="0" applyFont="1" applyBorder="1" applyAlignment="1">
      <alignment wrapText="1"/>
    </xf>
    <xf numFmtId="0" fontId="2" fillId="0" borderId="20" xfId="0" applyFont="1" applyBorder="1" applyAlignment="1">
      <alignment wrapText="1"/>
    </xf>
    <xf numFmtId="0" fontId="2" fillId="0" borderId="5" xfId="0" applyFont="1" applyBorder="1" applyAlignment="1">
      <alignment wrapText="1"/>
    </xf>
    <xf numFmtId="0" fontId="2" fillId="0" borderId="28" xfId="0" applyFont="1" applyBorder="1" applyAlignment="1">
      <alignment wrapText="1"/>
    </xf>
    <xf numFmtId="0" fontId="0" fillId="0" borderId="29" xfId="0" applyBorder="1"/>
    <xf numFmtId="0" fontId="0" fillId="0" borderId="30" xfId="0" applyBorder="1"/>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2" fillId="0" borderId="31" xfId="0" applyFont="1" applyBorder="1" applyAlignment="1">
      <alignment wrapText="1"/>
    </xf>
    <xf numFmtId="0" fontId="2" fillId="0" borderId="26" xfId="0" applyFont="1" applyBorder="1" applyAlignment="1">
      <alignment wrapText="1"/>
    </xf>
    <xf numFmtId="0" fontId="2" fillId="0" borderId="32" xfId="0" applyFont="1" applyBorder="1" applyAlignment="1">
      <alignment wrapText="1"/>
    </xf>
    <xf numFmtId="0" fontId="0" fillId="0" borderId="1" xfId="0" applyFont="1" applyFill="1" applyBorder="1"/>
    <xf numFmtId="0" fontId="0" fillId="0" borderId="11" xfId="0" applyFont="1" applyFill="1" applyBorder="1"/>
    <xf numFmtId="0" fontId="0" fillId="0" borderId="0" xfId="0" applyFill="1" applyBorder="1" applyAlignment="1">
      <alignment horizontal="center"/>
    </xf>
    <xf numFmtId="0" fontId="0" fillId="2" borderId="0" xfId="0" applyFill="1" applyBorder="1" applyAlignment="1"/>
    <xf numFmtId="0" fontId="0" fillId="0" borderId="0" xfId="0" applyFill="1" applyBorder="1" applyAlignment="1">
      <alignment horizontal="left"/>
    </xf>
    <xf numFmtId="0" fontId="2" fillId="0" borderId="0" xfId="0" applyFont="1" applyBorder="1" applyAlignment="1">
      <alignment horizontal="left" wrapText="1"/>
    </xf>
    <xf numFmtId="0" fontId="2" fillId="0" borderId="16" xfId="0" applyFont="1" applyBorder="1" applyAlignment="1">
      <alignment horizontal="center" wrapText="1"/>
    </xf>
    <xf numFmtId="0" fontId="2" fillId="0" borderId="17" xfId="0" applyFont="1" applyBorder="1" applyAlignment="1">
      <alignment horizontal="center" wrapText="1"/>
    </xf>
    <xf numFmtId="0" fontId="0" fillId="0" borderId="27" xfId="0" applyFill="1" applyBorder="1" applyAlignment="1">
      <alignment horizontal="center"/>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25" xfId="0" applyFont="1" applyBorder="1" applyAlignment="1">
      <alignment horizontal="center"/>
    </xf>
    <xf numFmtId="166" fontId="2" fillId="0" borderId="13" xfId="0" applyNumberFormat="1"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'Propeller Data'!$B$6</c:f>
          <c:strCache>
            <c:ptCount val="1"/>
            <c:pt idx="0">
              <c:v>Propeller Coefficients, APC 9x3</c:v>
            </c:pt>
          </c:strCache>
        </c:strRef>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'Propeller Data'!$B$9</c:f>
              <c:strCache>
                <c:ptCount val="1"/>
                <c:pt idx="0">
                  <c:v>CT (thrust coefficient)</c:v>
                </c:pt>
              </c:strCache>
            </c:strRef>
          </c:tx>
          <c:spPr>
            <a:ln w="349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xVal>
            <c:numRef>
              <c:f>'Propeller Data'!$A$10:$A$39</c:f>
              <c:numCache>
                <c:formatCode>General</c:formatCode>
                <c:ptCount val="30"/>
                <c:pt idx="0">
                  <c:v>0</c:v>
                </c:pt>
                <c:pt idx="1">
                  <c:v>0.02</c:v>
                </c:pt>
                <c:pt idx="2">
                  <c:v>0.04</c:v>
                </c:pt>
                <c:pt idx="3">
                  <c:v>0.06</c:v>
                </c:pt>
                <c:pt idx="4">
                  <c:v>0.08</c:v>
                </c:pt>
                <c:pt idx="5">
                  <c:v>0.09</c:v>
                </c:pt>
                <c:pt idx="6">
                  <c:v>0.11</c:v>
                </c:pt>
                <c:pt idx="7">
                  <c:v>0.13</c:v>
                </c:pt>
                <c:pt idx="8">
                  <c:v>0.15</c:v>
                </c:pt>
                <c:pt idx="9">
                  <c:v>0.17</c:v>
                </c:pt>
                <c:pt idx="10">
                  <c:v>0.19</c:v>
                </c:pt>
                <c:pt idx="11">
                  <c:v>0.21</c:v>
                </c:pt>
                <c:pt idx="12">
                  <c:v>0.23</c:v>
                </c:pt>
                <c:pt idx="13">
                  <c:v>0.25</c:v>
                </c:pt>
                <c:pt idx="14">
                  <c:v>0.26</c:v>
                </c:pt>
                <c:pt idx="15">
                  <c:v>0.28000000000000003</c:v>
                </c:pt>
                <c:pt idx="16">
                  <c:v>0.3</c:v>
                </c:pt>
                <c:pt idx="17">
                  <c:v>0.32</c:v>
                </c:pt>
                <c:pt idx="18">
                  <c:v>0.34</c:v>
                </c:pt>
                <c:pt idx="19">
                  <c:v>0.36</c:v>
                </c:pt>
                <c:pt idx="20">
                  <c:v>0.38</c:v>
                </c:pt>
                <c:pt idx="21">
                  <c:v>0.4</c:v>
                </c:pt>
                <c:pt idx="22">
                  <c:v>0.42</c:v>
                </c:pt>
                <c:pt idx="23">
                  <c:v>0.43</c:v>
                </c:pt>
                <c:pt idx="24">
                  <c:v>0.45</c:v>
                </c:pt>
                <c:pt idx="25">
                  <c:v>0.47</c:v>
                </c:pt>
                <c:pt idx="26">
                  <c:v>0.49</c:v>
                </c:pt>
                <c:pt idx="27">
                  <c:v>0.51</c:v>
                </c:pt>
                <c:pt idx="28">
                  <c:v>0.53</c:v>
                </c:pt>
                <c:pt idx="29">
                  <c:v>0.55000000000000004</c:v>
                </c:pt>
              </c:numCache>
            </c:numRef>
          </c:xVal>
          <c:yVal>
            <c:numRef>
              <c:f>'Propeller Data'!$B$10:$B$39</c:f>
              <c:numCache>
                <c:formatCode>General</c:formatCode>
                <c:ptCount val="30"/>
                <c:pt idx="0">
                  <c:v>0.106</c:v>
                </c:pt>
                <c:pt idx="1">
                  <c:v>0.1051</c:v>
                </c:pt>
                <c:pt idx="2">
                  <c:v>0.1046</c:v>
                </c:pt>
                <c:pt idx="3">
                  <c:v>0.1032</c:v>
                </c:pt>
                <c:pt idx="4">
                  <c:v>0.10150000000000001</c:v>
                </c:pt>
                <c:pt idx="5">
                  <c:v>9.9500000000000005E-2</c:v>
                </c:pt>
                <c:pt idx="6">
                  <c:v>9.7299999999999998E-2</c:v>
                </c:pt>
                <c:pt idx="7">
                  <c:v>9.4899999999999998E-2</c:v>
                </c:pt>
                <c:pt idx="8">
                  <c:v>9.2399999999999996E-2</c:v>
                </c:pt>
                <c:pt idx="9">
                  <c:v>8.9800000000000005E-2</c:v>
                </c:pt>
                <c:pt idx="10">
                  <c:v>8.7099999999999997E-2</c:v>
                </c:pt>
                <c:pt idx="11">
                  <c:v>8.4000000000000005E-2</c:v>
                </c:pt>
                <c:pt idx="12">
                  <c:v>8.0299999999999996E-2</c:v>
                </c:pt>
                <c:pt idx="13">
                  <c:v>7.6399999999999996E-2</c:v>
                </c:pt>
                <c:pt idx="14">
                  <c:v>7.2400000000000006E-2</c:v>
                </c:pt>
                <c:pt idx="15">
                  <c:v>6.8199999999999997E-2</c:v>
                </c:pt>
                <c:pt idx="16">
                  <c:v>6.4000000000000001E-2</c:v>
                </c:pt>
                <c:pt idx="17">
                  <c:v>5.9900000000000002E-2</c:v>
                </c:pt>
                <c:pt idx="18">
                  <c:v>5.57E-2</c:v>
                </c:pt>
                <c:pt idx="19">
                  <c:v>5.1700000000000003E-2</c:v>
                </c:pt>
                <c:pt idx="20">
                  <c:v>4.7600000000000003E-2</c:v>
                </c:pt>
                <c:pt idx="21">
                  <c:v>4.3499999999999997E-2</c:v>
                </c:pt>
                <c:pt idx="22">
                  <c:v>3.8800000000000001E-2</c:v>
                </c:pt>
                <c:pt idx="23">
                  <c:v>3.3700000000000001E-2</c:v>
                </c:pt>
                <c:pt idx="24">
                  <c:v>2.8500000000000001E-2</c:v>
                </c:pt>
                <c:pt idx="25">
                  <c:v>2.3E-2</c:v>
                </c:pt>
                <c:pt idx="26">
                  <c:v>1.7399999999999999E-2</c:v>
                </c:pt>
                <c:pt idx="27">
                  <c:v>1.09E-2</c:v>
                </c:pt>
                <c:pt idx="28">
                  <c:v>5.8999999999999999E-3</c:v>
                </c:pt>
                <c:pt idx="29">
                  <c:v>1E-4</c:v>
                </c:pt>
              </c:numCache>
            </c:numRef>
          </c:yVal>
          <c:smooth val="1"/>
          <c:extLst>
            <c:ext xmlns:c16="http://schemas.microsoft.com/office/drawing/2014/chart" uri="{C3380CC4-5D6E-409C-BE32-E72D297353CC}">
              <c16:uniqueId val="{00000000-1746-4BBA-AE65-5DAB1938AD60}"/>
            </c:ext>
          </c:extLst>
        </c:ser>
        <c:ser>
          <c:idx val="1"/>
          <c:order val="1"/>
          <c:tx>
            <c:strRef>
              <c:f>'Propeller Data'!$C$9</c:f>
              <c:strCache>
                <c:ptCount val="1"/>
                <c:pt idx="0">
                  <c:v>CP (power coefficient)</c:v>
                </c:pt>
              </c:strCache>
            </c:strRef>
          </c:tx>
          <c:spPr>
            <a:ln w="34925" cap="rnd">
              <a:solidFill>
                <a:schemeClr val="accent2"/>
              </a:solidFill>
              <a:round/>
            </a:ln>
            <a:effectLst>
              <a:outerShdw blurRad="40000" dist="23000" dir="5400000" rotWithShape="0">
                <a:srgbClr val="000000">
                  <a:alpha val="35000"/>
                </a:srgbClr>
              </a:outerShdw>
            </a:effectLst>
          </c:spPr>
          <c:marker>
            <c:symbol val="circle"/>
            <c:size val="6"/>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9525">
                <a:solidFill>
                  <a:schemeClr val="accent2"/>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xVal>
            <c:numRef>
              <c:f>'Propeller Data'!$A$10:$A$39</c:f>
              <c:numCache>
                <c:formatCode>General</c:formatCode>
                <c:ptCount val="30"/>
                <c:pt idx="0">
                  <c:v>0</c:v>
                </c:pt>
                <c:pt idx="1">
                  <c:v>0.02</c:v>
                </c:pt>
                <c:pt idx="2">
                  <c:v>0.04</c:v>
                </c:pt>
                <c:pt idx="3">
                  <c:v>0.06</c:v>
                </c:pt>
                <c:pt idx="4">
                  <c:v>0.08</c:v>
                </c:pt>
                <c:pt idx="5">
                  <c:v>0.09</c:v>
                </c:pt>
                <c:pt idx="6">
                  <c:v>0.11</c:v>
                </c:pt>
                <c:pt idx="7">
                  <c:v>0.13</c:v>
                </c:pt>
                <c:pt idx="8">
                  <c:v>0.15</c:v>
                </c:pt>
                <c:pt idx="9">
                  <c:v>0.17</c:v>
                </c:pt>
                <c:pt idx="10">
                  <c:v>0.19</c:v>
                </c:pt>
                <c:pt idx="11">
                  <c:v>0.21</c:v>
                </c:pt>
                <c:pt idx="12">
                  <c:v>0.23</c:v>
                </c:pt>
                <c:pt idx="13">
                  <c:v>0.25</c:v>
                </c:pt>
                <c:pt idx="14">
                  <c:v>0.26</c:v>
                </c:pt>
                <c:pt idx="15">
                  <c:v>0.28000000000000003</c:v>
                </c:pt>
                <c:pt idx="16">
                  <c:v>0.3</c:v>
                </c:pt>
                <c:pt idx="17">
                  <c:v>0.32</c:v>
                </c:pt>
                <c:pt idx="18">
                  <c:v>0.34</c:v>
                </c:pt>
                <c:pt idx="19">
                  <c:v>0.36</c:v>
                </c:pt>
                <c:pt idx="20">
                  <c:v>0.38</c:v>
                </c:pt>
                <c:pt idx="21">
                  <c:v>0.4</c:v>
                </c:pt>
                <c:pt idx="22">
                  <c:v>0.42</c:v>
                </c:pt>
                <c:pt idx="23">
                  <c:v>0.43</c:v>
                </c:pt>
                <c:pt idx="24">
                  <c:v>0.45</c:v>
                </c:pt>
                <c:pt idx="25">
                  <c:v>0.47</c:v>
                </c:pt>
                <c:pt idx="26">
                  <c:v>0.49</c:v>
                </c:pt>
                <c:pt idx="27">
                  <c:v>0.51</c:v>
                </c:pt>
                <c:pt idx="28">
                  <c:v>0.53</c:v>
                </c:pt>
                <c:pt idx="29">
                  <c:v>0.55000000000000004</c:v>
                </c:pt>
              </c:numCache>
            </c:numRef>
          </c:xVal>
          <c:yVal>
            <c:numRef>
              <c:f>'Propeller Data'!$C$10:$C$39</c:f>
              <c:numCache>
                <c:formatCode>General</c:formatCode>
                <c:ptCount val="30"/>
                <c:pt idx="0">
                  <c:v>6.7199999999999996E-2</c:v>
                </c:pt>
                <c:pt idx="1">
                  <c:v>6.6299999999999998E-2</c:v>
                </c:pt>
                <c:pt idx="2">
                  <c:v>6.5600000000000006E-2</c:v>
                </c:pt>
                <c:pt idx="3">
                  <c:v>6.4699999999999994E-2</c:v>
                </c:pt>
                <c:pt idx="4">
                  <c:v>6.3799999999999996E-2</c:v>
                </c:pt>
                <c:pt idx="5">
                  <c:v>6.3100000000000003E-2</c:v>
                </c:pt>
                <c:pt idx="6">
                  <c:v>6.2600000000000003E-2</c:v>
                </c:pt>
                <c:pt idx="7">
                  <c:v>6.2E-2</c:v>
                </c:pt>
                <c:pt idx="8">
                  <c:v>6.1400000000000003E-2</c:v>
                </c:pt>
                <c:pt idx="9">
                  <c:v>6.08E-2</c:v>
                </c:pt>
                <c:pt idx="10">
                  <c:v>6.0100000000000001E-2</c:v>
                </c:pt>
                <c:pt idx="11">
                  <c:v>5.8900000000000001E-2</c:v>
                </c:pt>
                <c:pt idx="12">
                  <c:v>5.7599999999999998E-2</c:v>
                </c:pt>
                <c:pt idx="13">
                  <c:v>5.62E-2</c:v>
                </c:pt>
                <c:pt idx="14">
                  <c:v>5.4699999999999999E-2</c:v>
                </c:pt>
                <c:pt idx="15">
                  <c:v>5.3100000000000001E-2</c:v>
                </c:pt>
                <c:pt idx="16">
                  <c:v>5.1499999999999997E-2</c:v>
                </c:pt>
                <c:pt idx="17">
                  <c:v>4.99E-2</c:v>
                </c:pt>
                <c:pt idx="18">
                  <c:v>4.8300000000000003E-2</c:v>
                </c:pt>
                <c:pt idx="19">
                  <c:v>4.6800000000000001E-2</c:v>
                </c:pt>
                <c:pt idx="20">
                  <c:v>4.5600000000000002E-2</c:v>
                </c:pt>
                <c:pt idx="21">
                  <c:v>4.48E-2</c:v>
                </c:pt>
                <c:pt idx="22">
                  <c:v>4.36E-2</c:v>
                </c:pt>
                <c:pt idx="23">
                  <c:v>4.1799999999999997E-2</c:v>
                </c:pt>
                <c:pt idx="24">
                  <c:v>4.0099999999999997E-2</c:v>
                </c:pt>
                <c:pt idx="25">
                  <c:v>3.7900000000000003E-2</c:v>
                </c:pt>
                <c:pt idx="26">
                  <c:v>3.5700000000000003E-2</c:v>
                </c:pt>
                <c:pt idx="27">
                  <c:v>3.2800000000000003E-2</c:v>
                </c:pt>
                <c:pt idx="28">
                  <c:v>3.1E-2</c:v>
                </c:pt>
                <c:pt idx="29">
                  <c:v>2.8799999999999999E-2</c:v>
                </c:pt>
              </c:numCache>
            </c:numRef>
          </c:yVal>
          <c:smooth val="1"/>
          <c:extLst>
            <c:ext xmlns:c16="http://schemas.microsoft.com/office/drawing/2014/chart" uri="{C3380CC4-5D6E-409C-BE32-E72D297353CC}">
              <c16:uniqueId val="{00000001-1746-4BBA-AE65-5DAB1938AD60}"/>
            </c:ext>
          </c:extLst>
        </c:ser>
        <c:dLbls>
          <c:showLegendKey val="0"/>
          <c:showVal val="0"/>
          <c:showCatName val="0"/>
          <c:showSerName val="0"/>
          <c:showPercent val="0"/>
          <c:showBubbleSize val="0"/>
        </c:dLbls>
        <c:axId val="433719616"/>
        <c:axId val="433720928"/>
      </c:scatterChart>
      <c:scatterChart>
        <c:scatterStyle val="smoothMarker"/>
        <c:varyColors val="0"/>
        <c:ser>
          <c:idx val="2"/>
          <c:order val="2"/>
          <c:tx>
            <c:strRef>
              <c:f>'Propeller Sizing'!$D$33</c:f>
              <c:strCache>
                <c:ptCount val="1"/>
                <c:pt idx="0">
                  <c:v>propeller efficiency</c:v>
                </c:pt>
              </c:strCache>
            </c:strRef>
          </c:tx>
          <c:spPr>
            <a:ln w="34925" cap="rnd">
              <a:solidFill>
                <a:schemeClr val="accent3"/>
              </a:solidFill>
              <a:round/>
            </a:ln>
            <a:effectLst>
              <a:outerShdw blurRad="40000" dist="23000" dir="5400000" rotWithShape="0">
                <a:srgbClr val="000000">
                  <a:alpha val="35000"/>
                </a:srgbClr>
              </a:outerShdw>
            </a:effectLst>
          </c:spPr>
          <c:marker>
            <c:symbol val="circle"/>
            <c:size val="6"/>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a:solidFill>
                  <a:schemeClr val="accent3"/>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xVal>
            <c:numRef>
              <c:f>'Propeller Data'!$A$10:$A$39</c:f>
              <c:numCache>
                <c:formatCode>General</c:formatCode>
                <c:ptCount val="30"/>
                <c:pt idx="0">
                  <c:v>0</c:v>
                </c:pt>
                <c:pt idx="1">
                  <c:v>0.02</c:v>
                </c:pt>
                <c:pt idx="2">
                  <c:v>0.04</c:v>
                </c:pt>
                <c:pt idx="3">
                  <c:v>0.06</c:v>
                </c:pt>
                <c:pt idx="4">
                  <c:v>0.08</c:v>
                </c:pt>
                <c:pt idx="5">
                  <c:v>0.09</c:v>
                </c:pt>
                <c:pt idx="6">
                  <c:v>0.11</c:v>
                </c:pt>
                <c:pt idx="7">
                  <c:v>0.13</c:v>
                </c:pt>
                <c:pt idx="8">
                  <c:v>0.15</c:v>
                </c:pt>
                <c:pt idx="9">
                  <c:v>0.17</c:v>
                </c:pt>
                <c:pt idx="10">
                  <c:v>0.19</c:v>
                </c:pt>
                <c:pt idx="11">
                  <c:v>0.21</c:v>
                </c:pt>
                <c:pt idx="12">
                  <c:v>0.23</c:v>
                </c:pt>
                <c:pt idx="13">
                  <c:v>0.25</c:v>
                </c:pt>
                <c:pt idx="14">
                  <c:v>0.26</c:v>
                </c:pt>
                <c:pt idx="15">
                  <c:v>0.28000000000000003</c:v>
                </c:pt>
                <c:pt idx="16">
                  <c:v>0.3</c:v>
                </c:pt>
                <c:pt idx="17">
                  <c:v>0.32</c:v>
                </c:pt>
                <c:pt idx="18">
                  <c:v>0.34</c:v>
                </c:pt>
                <c:pt idx="19">
                  <c:v>0.36</c:v>
                </c:pt>
                <c:pt idx="20">
                  <c:v>0.38</c:v>
                </c:pt>
                <c:pt idx="21">
                  <c:v>0.4</c:v>
                </c:pt>
                <c:pt idx="22">
                  <c:v>0.42</c:v>
                </c:pt>
                <c:pt idx="23">
                  <c:v>0.43</c:v>
                </c:pt>
                <c:pt idx="24">
                  <c:v>0.45</c:v>
                </c:pt>
                <c:pt idx="25">
                  <c:v>0.47</c:v>
                </c:pt>
                <c:pt idx="26">
                  <c:v>0.49</c:v>
                </c:pt>
                <c:pt idx="27">
                  <c:v>0.51</c:v>
                </c:pt>
                <c:pt idx="28">
                  <c:v>0.53</c:v>
                </c:pt>
                <c:pt idx="29">
                  <c:v>0.55000000000000004</c:v>
                </c:pt>
              </c:numCache>
            </c:numRef>
          </c:xVal>
          <c:yVal>
            <c:numRef>
              <c:f>'Propeller Sizing'!$D$34:$D$63</c:f>
              <c:numCache>
                <c:formatCode>General</c:formatCode>
                <c:ptCount val="30"/>
                <c:pt idx="0">
                  <c:v>0</c:v>
                </c:pt>
                <c:pt idx="1">
                  <c:v>3.1704374057315236E-2</c:v>
                </c:pt>
                <c:pt idx="2">
                  <c:v>6.378048780487805E-2</c:v>
                </c:pt>
                <c:pt idx="3">
                  <c:v>9.57032457496136E-2</c:v>
                </c:pt>
                <c:pt idx="4">
                  <c:v>0.12727272727272729</c:v>
                </c:pt>
                <c:pt idx="5">
                  <c:v>0.14191759112519808</c:v>
                </c:pt>
                <c:pt idx="6">
                  <c:v>0.17097444089456867</c:v>
                </c:pt>
                <c:pt idx="7">
                  <c:v>0.19898387096774195</c:v>
                </c:pt>
                <c:pt idx="8">
                  <c:v>0.22573289902280128</c:v>
                </c:pt>
                <c:pt idx="9">
                  <c:v>0.25108552631578951</c:v>
                </c:pt>
                <c:pt idx="10">
                  <c:v>0.27535773710482531</c:v>
                </c:pt>
                <c:pt idx="11">
                  <c:v>0.29949066213921899</c:v>
                </c:pt>
                <c:pt idx="12">
                  <c:v>0.32064236111111111</c:v>
                </c:pt>
                <c:pt idx="13">
                  <c:v>0.33985765124555156</c:v>
                </c:pt>
                <c:pt idx="14">
                  <c:v>0.34413162705667283</c:v>
                </c:pt>
                <c:pt idx="15">
                  <c:v>0.35962335216572505</c:v>
                </c:pt>
                <c:pt idx="16">
                  <c:v>0.37281553398058254</c:v>
                </c:pt>
                <c:pt idx="17">
                  <c:v>0.38412825651302607</c:v>
                </c:pt>
                <c:pt idx="18">
                  <c:v>0.39209109730848857</c:v>
                </c:pt>
                <c:pt idx="19">
                  <c:v>0.39769230769230768</c:v>
                </c:pt>
                <c:pt idx="20">
                  <c:v>0.39666666666666667</c:v>
                </c:pt>
                <c:pt idx="21">
                  <c:v>0.3883928571428571</c:v>
                </c:pt>
                <c:pt idx="22">
                  <c:v>0.37376146788990827</c:v>
                </c:pt>
                <c:pt idx="23">
                  <c:v>0.34667464114832541</c:v>
                </c:pt>
                <c:pt idx="24">
                  <c:v>0.31982543640897759</c:v>
                </c:pt>
                <c:pt idx="25">
                  <c:v>0.28522427440633241</c:v>
                </c:pt>
                <c:pt idx="26">
                  <c:v>0.23882352941176466</c:v>
                </c:pt>
                <c:pt idx="27">
                  <c:v>0.16948170731707315</c:v>
                </c:pt>
                <c:pt idx="28">
                  <c:v>0.10087096774193549</c:v>
                </c:pt>
                <c:pt idx="29">
                  <c:v>1.9097222222222226E-3</c:v>
                </c:pt>
              </c:numCache>
            </c:numRef>
          </c:yVal>
          <c:smooth val="1"/>
          <c:extLst>
            <c:ext xmlns:c16="http://schemas.microsoft.com/office/drawing/2014/chart" uri="{C3380CC4-5D6E-409C-BE32-E72D297353CC}">
              <c16:uniqueId val="{00000002-1746-4BBA-AE65-5DAB1938AD60}"/>
            </c:ext>
          </c:extLst>
        </c:ser>
        <c:dLbls>
          <c:showLegendKey val="0"/>
          <c:showVal val="0"/>
          <c:showCatName val="0"/>
          <c:showSerName val="0"/>
          <c:showPercent val="0"/>
          <c:showBubbleSize val="0"/>
        </c:dLbls>
        <c:axId val="889936752"/>
        <c:axId val="889935440"/>
      </c:scatterChart>
      <c:valAx>
        <c:axId val="43371961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1100"/>
                  <a:t>Advance</a:t>
                </a:r>
                <a:r>
                  <a:rPr lang="en-US" sz="1100" baseline="0"/>
                  <a:t> Ratio</a:t>
                </a:r>
                <a:endParaRPr lang="en-US" sz="1100"/>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3720928"/>
        <c:crosses val="autoZero"/>
        <c:crossBetween val="midCat"/>
      </c:valAx>
      <c:valAx>
        <c:axId val="4337209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1100"/>
                  <a:t>CT, CP</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3719616"/>
        <c:crosses val="autoZero"/>
        <c:crossBetween val="midCat"/>
      </c:valAx>
      <c:valAx>
        <c:axId val="889935440"/>
        <c:scaling>
          <c:orientation val="minMax"/>
        </c:scaling>
        <c:delete val="0"/>
        <c:axPos val="r"/>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1100"/>
                  <a:t>efficiency</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9936752"/>
        <c:crosses val="max"/>
        <c:crossBetween val="midCat"/>
      </c:valAx>
      <c:valAx>
        <c:axId val="889936752"/>
        <c:scaling>
          <c:orientation val="minMax"/>
        </c:scaling>
        <c:delete val="1"/>
        <c:axPos val="b"/>
        <c:numFmt formatCode="General" sourceLinked="1"/>
        <c:majorTickMark val="none"/>
        <c:minorTickMark val="none"/>
        <c:tickLblPos val="nextTo"/>
        <c:crossAx val="88993544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857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'Propeller Sizing'!$B$5</c:f>
          <c:strCache>
            <c:ptCount val="1"/>
            <c:pt idx="0">
              <c:v>Power Draw at v = 1.2 m/s, 6.6 N thrust</c:v>
            </c:pt>
          </c:strCache>
        </c:strRef>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'Propeller Sizing'!$B$75</c:f>
              <c:strCache>
                <c:ptCount val="1"/>
                <c:pt idx="0">
                  <c:v>Maxon 634043</c:v>
                </c:pt>
              </c:strCache>
            </c:strRef>
          </c:tx>
          <c:spPr>
            <a:ln w="349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cap="rnd">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xVal>
            <c:numRef>
              <c:f>'Propeller Sizing'!$K$68:$K$71</c:f>
              <c:numCache>
                <c:formatCode>General</c:formatCode>
                <c:ptCount val="4"/>
                <c:pt idx="0">
                  <c:v>5</c:v>
                </c:pt>
                <c:pt idx="1">
                  <c:v>6.5</c:v>
                </c:pt>
                <c:pt idx="2">
                  <c:v>8</c:v>
                </c:pt>
                <c:pt idx="3">
                  <c:v>9.5</c:v>
                </c:pt>
              </c:numCache>
            </c:numRef>
          </c:xVal>
          <c:yVal>
            <c:numRef>
              <c:f>'Propeller Sizing'!$Q$77:$Q$80</c:f>
              <c:numCache>
                <c:formatCode>General</c:formatCode>
                <c:ptCount val="4"/>
                <c:pt idx="0">
                  <c:v>31.4245562294807</c:v>
                </c:pt>
                <c:pt idx="1">
                  <c:v>33.412241639706714</c:v>
                </c:pt>
                <c:pt idx="2">
                  <c:v>37.846925502930482</c:v>
                </c:pt>
                <c:pt idx="3">
                  <c:v>45.395957842139801</c:v>
                </c:pt>
              </c:numCache>
            </c:numRef>
          </c:yVal>
          <c:smooth val="0"/>
          <c:extLst>
            <c:ext xmlns:c16="http://schemas.microsoft.com/office/drawing/2014/chart" uri="{C3380CC4-5D6E-409C-BE32-E72D297353CC}">
              <c16:uniqueId val="{00000000-257F-4515-8898-48133069DBED}"/>
            </c:ext>
          </c:extLst>
        </c:ser>
        <c:ser>
          <c:idx val="1"/>
          <c:order val="1"/>
          <c:tx>
            <c:strRef>
              <c:f>'Propeller Sizing'!$B$82</c:f>
              <c:strCache>
                <c:ptCount val="1"/>
                <c:pt idx="0">
                  <c:v>Maxon 488607</c:v>
                </c:pt>
              </c:strCache>
            </c:strRef>
          </c:tx>
          <c:spPr>
            <a:ln w="34925" cap="rnd">
              <a:solidFill>
                <a:schemeClr val="accent2"/>
              </a:solidFill>
              <a:round/>
            </a:ln>
            <a:effectLst>
              <a:outerShdw blurRad="40000" dist="23000" dir="5400000" rotWithShape="0">
                <a:srgbClr val="000000">
                  <a:alpha val="35000"/>
                </a:srgbClr>
              </a:outerShdw>
            </a:effectLst>
          </c:spPr>
          <c:marker>
            <c:symbol val="circle"/>
            <c:size val="6"/>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9525" cap="rnd">
                <a:solidFill>
                  <a:schemeClr val="accent2"/>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xVal>
            <c:numRef>
              <c:f>'Propeller Sizing'!$K$68:$K$71</c:f>
              <c:numCache>
                <c:formatCode>General</c:formatCode>
                <c:ptCount val="4"/>
                <c:pt idx="0">
                  <c:v>5</c:v>
                </c:pt>
                <c:pt idx="1">
                  <c:v>6.5</c:v>
                </c:pt>
                <c:pt idx="2">
                  <c:v>8</c:v>
                </c:pt>
                <c:pt idx="3">
                  <c:v>9.5</c:v>
                </c:pt>
              </c:numCache>
            </c:numRef>
          </c:xVal>
          <c:yVal>
            <c:numRef>
              <c:f>'Propeller Sizing'!$Q$84:$Q$87</c:f>
              <c:numCache>
                <c:formatCode>General</c:formatCode>
                <c:ptCount val="4"/>
                <c:pt idx="0">
                  <c:v>28.07380917787421</c:v>
                </c:pt>
                <c:pt idx="1">
                  <c:v>35.74272867347495</c:v>
                </c:pt>
                <c:pt idx="2">
                  <c:v>49.162532667664422</c:v>
                </c:pt>
                <c:pt idx="3">
                  <c:v>72.983990189981924</c:v>
                </c:pt>
              </c:numCache>
            </c:numRef>
          </c:yVal>
          <c:smooth val="0"/>
          <c:extLst>
            <c:ext xmlns:c16="http://schemas.microsoft.com/office/drawing/2014/chart" uri="{C3380CC4-5D6E-409C-BE32-E72D297353CC}">
              <c16:uniqueId val="{00000001-257F-4515-8898-48133069DBED}"/>
            </c:ext>
          </c:extLst>
        </c:ser>
        <c:ser>
          <c:idx val="2"/>
          <c:order val="2"/>
          <c:tx>
            <c:strRef>
              <c:f>'Propeller Sizing'!$B$89</c:f>
              <c:strCache>
                <c:ptCount val="1"/>
                <c:pt idx="0">
                  <c:v>Cobra CM-4510-40</c:v>
                </c:pt>
              </c:strCache>
              <c:extLst xmlns:c15="http://schemas.microsoft.com/office/drawing/2012/chart"/>
            </c:strRef>
          </c:tx>
          <c:spPr>
            <a:ln w="34925" cap="rnd">
              <a:solidFill>
                <a:schemeClr val="accent3"/>
              </a:solidFill>
              <a:round/>
            </a:ln>
            <a:effectLst>
              <a:outerShdw blurRad="40000" dist="23000" dir="5400000" rotWithShape="0">
                <a:srgbClr val="000000">
                  <a:alpha val="35000"/>
                </a:srgbClr>
              </a:outerShdw>
            </a:effectLst>
          </c:spPr>
          <c:marker>
            <c:symbol val="circle"/>
            <c:size val="6"/>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rnd">
                <a:solidFill>
                  <a:schemeClr val="accent3"/>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xVal>
            <c:numRef>
              <c:f>'Propeller Sizing'!$K$68:$K$71</c:f>
              <c:numCache>
                <c:formatCode>General</c:formatCode>
                <c:ptCount val="4"/>
                <c:pt idx="0">
                  <c:v>5</c:v>
                </c:pt>
                <c:pt idx="1">
                  <c:v>6.5</c:v>
                </c:pt>
                <c:pt idx="2">
                  <c:v>8</c:v>
                </c:pt>
                <c:pt idx="3">
                  <c:v>9.5</c:v>
                </c:pt>
              </c:numCache>
              <c:extLst xmlns:c15="http://schemas.microsoft.com/office/drawing/2012/chart"/>
            </c:numRef>
          </c:xVal>
          <c:yVal>
            <c:numRef>
              <c:f>'Propeller Sizing'!$Q$91:$Q$94</c:f>
              <c:numCache>
                <c:formatCode>General</c:formatCode>
                <c:ptCount val="4"/>
                <c:pt idx="0">
                  <c:v>28.589937894542153</c:v>
                </c:pt>
                <c:pt idx="1">
                  <c:v>38.551935787489548</c:v>
                </c:pt>
                <c:pt idx="2">
                  <c:v>56.388212508405807</c:v>
                </c:pt>
                <c:pt idx="3">
                  <c:v>88.748920197735032</c:v>
                </c:pt>
              </c:numCache>
            </c:numRef>
          </c:yVal>
          <c:smooth val="0"/>
          <c:extLst xmlns:c15="http://schemas.microsoft.com/office/drawing/2012/chart">
            <c:ext xmlns:c16="http://schemas.microsoft.com/office/drawing/2014/chart" uri="{C3380CC4-5D6E-409C-BE32-E72D297353CC}">
              <c16:uniqueId val="{00000002-257F-4515-8898-48133069DBED}"/>
            </c:ext>
          </c:extLst>
        </c:ser>
        <c:dLbls>
          <c:showLegendKey val="0"/>
          <c:showVal val="0"/>
          <c:showCatName val="0"/>
          <c:showSerName val="0"/>
          <c:showPercent val="0"/>
          <c:showBubbleSize val="0"/>
        </c:dLbls>
        <c:axId val="572870752"/>
        <c:axId val="572871408"/>
        <c:extLst/>
      </c:scatterChart>
      <c:valAx>
        <c:axId val="572870752"/>
        <c:scaling>
          <c:orientation val="minMax"/>
          <c:min val="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1100"/>
                  <a:t>Propeller Diameter (inches)</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2871408"/>
        <c:crosses val="autoZero"/>
        <c:crossBetween val="midCat"/>
      </c:valAx>
      <c:valAx>
        <c:axId val="57287140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1100"/>
                  <a:t>Total Power Draw (W)</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287075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857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'Propeller Sizing'!$B$6</c:f>
          <c:strCache>
            <c:ptCount val="1"/>
            <c:pt idx="0">
              <c:v>Motor Voltage at v = 1.2 m/s, 6.6 N thrust</c:v>
            </c:pt>
          </c:strCache>
        </c:strRef>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'Propeller Sizing'!$B$75</c:f>
              <c:strCache>
                <c:ptCount val="1"/>
                <c:pt idx="0">
                  <c:v>Maxon 634043</c:v>
                </c:pt>
              </c:strCache>
            </c:strRef>
          </c:tx>
          <c:spPr>
            <a:ln w="349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cap="rnd">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xVal>
            <c:numRef>
              <c:f>'Propeller Sizing'!$K$68:$K$71</c:f>
              <c:numCache>
                <c:formatCode>General</c:formatCode>
                <c:ptCount val="4"/>
                <c:pt idx="0">
                  <c:v>5</c:v>
                </c:pt>
                <c:pt idx="1">
                  <c:v>6.5</c:v>
                </c:pt>
                <c:pt idx="2">
                  <c:v>8</c:v>
                </c:pt>
                <c:pt idx="3">
                  <c:v>9.5</c:v>
                </c:pt>
              </c:numCache>
            </c:numRef>
          </c:xVal>
          <c:yVal>
            <c:numRef>
              <c:f>'Propeller Sizing'!$O$77:$O$80</c:f>
              <c:numCache>
                <c:formatCode>General</c:formatCode>
                <c:ptCount val="4"/>
                <c:pt idx="0">
                  <c:v>17.573294204841037</c:v>
                </c:pt>
                <c:pt idx="1">
                  <c:v>12.568697860986541</c:v>
                </c:pt>
                <c:pt idx="2">
                  <c:v>9.9576723231356361</c:v>
                </c:pt>
                <c:pt idx="3">
                  <c:v>8.5332970374705326</c:v>
                </c:pt>
              </c:numCache>
            </c:numRef>
          </c:yVal>
          <c:smooth val="0"/>
          <c:extLst>
            <c:ext xmlns:c16="http://schemas.microsoft.com/office/drawing/2014/chart" uri="{C3380CC4-5D6E-409C-BE32-E72D297353CC}">
              <c16:uniqueId val="{00000000-4EE6-4315-BC53-3B7E5EEE7D26}"/>
            </c:ext>
          </c:extLst>
        </c:ser>
        <c:ser>
          <c:idx val="1"/>
          <c:order val="1"/>
          <c:tx>
            <c:strRef>
              <c:f>'Propeller Sizing'!$B$82</c:f>
              <c:strCache>
                <c:ptCount val="1"/>
                <c:pt idx="0">
                  <c:v>Maxon 488607</c:v>
                </c:pt>
              </c:strCache>
            </c:strRef>
          </c:tx>
          <c:spPr>
            <a:ln w="34925" cap="rnd">
              <a:solidFill>
                <a:schemeClr val="accent2"/>
              </a:solidFill>
              <a:round/>
            </a:ln>
            <a:effectLst>
              <a:outerShdw blurRad="40000" dist="23000" dir="5400000" rotWithShape="0">
                <a:srgbClr val="000000">
                  <a:alpha val="35000"/>
                </a:srgbClr>
              </a:outerShdw>
            </a:effectLst>
          </c:spPr>
          <c:marker>
            <c:symbol val="circle"/>
            <c:size val="6"/>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9525" cap="rnd">
                <a:solidFill>
                  <a:schemeClr val="accent2"/>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xVal>
            <c:numRef>
              <c:f>'Propeller Sizing'!$K$68:$K$71</c:f>
              <c:numCache>
                <c:formatCode>General</c:formatCode>
                <c:ptCount val="4"/>
                <c:pt idx="0">
                  <c:v>5</c:v>
                </c:pt>
                <c:pt idx="1">
                  <c:v>6.5</c:v>
                </c:pt>
                <c:pt idx="2">
                  <c:v>8</c:v>
                </c:pt>
                <c:pt idx="3">
                  <c:v>9.5</c:v>
                </c:pt>
              </c:numCache>
            </c:numRef>
          </c:xVal>
          <c:yVal>
            <c:numRef>
              <c:f>'Propeller Sizing'!$O$84:$O$87</c:f>
              <c:numCache>
                <c:formatCode>General</c:formatCode>
                <c:ptCount val="4"/>
                <c:pt idx="0">
                  <c:v>15.258409241930336</c:v>
                </c:pt>
                <c:pt idx="1">
                  <c:v>12.154462629768076</c:v>
                </c:pt>
                <c:pt idx="2">
                  <c:v>11.209154404325787</c:v>
                </c:pt>
                <c:pt idx="3">
                  <c:v>11.570699128853345</c:v>
                </c:pt>
              </c:numCache>
            </c:numRef>
          </c:yVal>
          <c:smooth val="0"/>
          <c:extLst>
            <c:ext xmlns:c16="http://schemas.microsoft.com/office/drawing/2014/chart" uri="{C3380CC4-5D6E-409C-BE32-E72D297353CC}">
              <c16:uniqueId val="{00000001-4EE6-4315-BC53-3B7E5EEE7D26}"/>
            </c:ext>
          </c:extLst>
        </c:ser>
        <c:ser>
          <c:idx val="2"/>
          <c:order val="2"/>
          <c:tx>
            <c:strRef>
              <c:f>'Propeller Sizing'!$B$89</c:f>
              <c:strCache>
                <c:ptCount val="1"/>
                <c:pt idx="0">
                  <c:v>Cobra CM-4510-40</c:v>
                </c:pt>
              </c:strCache>
              <c:extLst xmlns:c15="http://schemas.microsoft.com/office/drawing/2012/chart"/>
            </c:strRef>
          </c:tx>
          <c:spPr>
            <a:ln w="34925" cap="rnd">
              <a:solidFill>
                <a:schemeClr val="accent3"/>
              </a:solidFill>
              <a:round/>
            </a:ln>
            <a:effectLst>
              <a:outerShdw blurRad="40000" dist="23000" dir="5400000" rotWithShape="0">
                <a:srgbClr val="000000">
                  <a:alpha val="35000"/>
                </a:srgbClr>
              </a:outerShdw>
            </a:effectLst>
          </c:spPr>
          <c:marker>
            <c:symbol val="circle"/>
            <c:size val="6"/>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rnd">
                <a:solidFill>
                  <a:schemeClr val="accent3"/>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xVal>
            <c:numRef>
              <c:f>'Propeller Sizing'!$K$68:$K$71</c:f>
              <c:numCache>
                <c:formatCode>General</c:formatCode>
                <c:ptCount val="4"/>
                <c:pt idx="0">
                  <c:v>5</c:v>
                </c:pt>
                <c:pt idx="1">
                  <c:v>6.5</c:v>
                </c:pt>
                <c:pt idx="2">
                  <c:v>8</c:v>
                </c:pt>
                <c:pt idx="3">
                  <c:v>9.5</c:v>
                </c:pt>
              </c:numCache>
              <c:extLst xmlns:c15="http://schemas.microsoft.com/office/drawing/2012/chart"/>
            </c:numRef>
          </c:xVal>
          <c:yVal>
            <c:numRef>
              <c:f>'Propeller Sizing'!$O$91:$O$94</c:f>
              <c:numCache>
                <c:formatCode>General</c:formatCode>
                <c:ptCount val="4"/>
                <c:pt idx="0">
                  <c:v>5.4102115022396475</c:v>
                </c:pt>
                <c:pt idx="1">
                  <c:v>4.5172022050406895</c:v>
                </c:pt>
                <c:pt idx="2">
                  <c:v>4.4048789058424838</c:v>
                </c:pt>
                <c:pt idx="3">
                  <c:v>4.8037344914883819</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02-4EE6-4315-BC53-3B7E5EEE7D26}"/>
            </c:ext>
          </c:extLst>
        </c:ser>
        <c:dLbls>
          <c:showLegendKey val="0"/>
          <c:showVal val="0"/>
          <c:showCatName val="0"/>
          <c:showSerName val="0"/>
          <c:showPercent val="0"/>
          <c:showBubbleSize val="0"/>
        </c:dLbls>
        <c:axId val="572870752"/>
        <c:axId val="572871408"/>
        <c:extLst/>
      </c:scatterChart>
      <c:valAx>
        <c:axId val="572870752"/>
        <c:scaling>
          <c:orientation val="minMax"/>
          <c:min val="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1100"/>
                  <a:t>Propeller Diameter (inches)</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2871408"/>
        <c:crosses val="autoZero"/>
        <c:crossBetween val="midCat"/>
      </c:valAx>
      <c:valAx>
        <c:axId val="572871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1100"/>
                  <a:t>Input voltage (V)</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287075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857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'Power Draw vs. Thrust'!$B$23</c:f>
          <c:strCache>
            <c:ptCount val="1"/>
            <c:pt idx="0">
              <c:v>Power Draw, Maxon 634043, APC 9x3, D = 0.23 m</c:v>
            </c:pt>
          </c:strCache>
        </c:strRef>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'Power Draw vs. Thrust'!$A$68</c:f>
              <c:strCache>
                <c:ptCount val="1"/>
                <c:pt idx="0">
                  <c:v>v = 0.0 (static)</c:v>
                </c:pt>
              </c:strCache>
            </c:strRef>
          </c:tx>
          <c:spPr>
            <a:ln w="25400" cap="rnd">
              <a:solidFill>
                <a:schemeClr val="accent1">
                  <a:shade val="47000"/>
                </a:schemeClr>
              </a:solidFill>
              <a:round/>
            </a:ln>
            <a:effectLst>
              <a:outerShdw blurRad="40000" dist="23000" dir="5400000" rotWithShape="0">
                <a:srgbClr val="000000">
                  <a:alpha val="35000"/>
                </a:srgbClr>
              </a:outerShdw>
            </a:effectLst>
          </c:spPr>
          <c:marker>
            <c:symbol val="none"/>
          </c:marker>
          <c:xVal>
            <c:numRef>
              <c:f>'Power Draw vs. Thrust'!$C$68:$C$83</c:f>
              <c:numCache>
                <c:formatCode>General</c:formatCode>
                <c:ptCount val="1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numCache>
            </c:numRef>
          </c:xVal>
          <c:yVal>
            <c:numRef>
              <c:f>'Power Draw vs. Thrust'!$Z$68:$Z$83</c:f>
              <c:numCache>
                <c:formatCode>General</c:formatCode>
                <c:ptCount val="16"/>
                <c:pt idx="0">
                  <c:v>1.0447577850623659</c:v>
                </c:pt>
                <c:pt idx="1">
                  <c:v>2.0029403139489652</c:v>
                </c:pt>
                <c:pt idx="2">
                  <c:v>2.9312453683433799</c:v>
                </c:pt>
                <c:pt idx="3">
                  <c:v>4.13760366317356</c:v>
                </c:pt>
                <c:pt idx="4">
                  <c:v>5.4637262027465097</c:v>
                </c:pt>
                <c:pt idx="5">
                  <c:v>6.7796353121108481</c:v>
                </c:pt>
                <c:pt idx="6">
                  <c:v>8.0830904267421175</c:v>
                </c:pt>
                <c:pt idx="7">
                  <c:v>9.6655027812247489</c:v>
                </c:pt>
                <c:pt idx="8">
                  <c:v>11.456164007909891</c:v>
                </c:pt>
                <c:pt idx="9">
                  <c:v>13.244764471571475</c:v>
                </c:pt>
                <c:pt idx="10">
                  <c:v>15.028102761660072</c:v>
                </c:pt>
                <c:pt idx="11">
                  <c:v>16.804172328802203</c:v>
                </c:pt>
                <c:pt idx="12">
                  <c:v>18.571773092547161</c:v>
                </c:pt>
                <c:pt idx="13">
                  <c:v>20.775943656342683</c:v>
                </c:pt>
                <c:pt idx="14">
                  <c:v>23.084444997809825</c:v>
                </c:pt>
                <c:pt idx="15">
                  <c:v>25.393096561354213</c:v>
                </c:pt>
              </c:numCache>
            </c:numRef>
          </c:yVal>
          <c:smooth val="1"/>
          <c:extLst>
            <c:ext xmlns:c16="http://schemas.microsoft.com/office/drawing/2014/chart" uri="{C3380CC4-5D6E-409C-BE32-E72D297353CC}">
              <c16:uniqueId val="{00000000-A5C1-4966-B4DA-5AE19592681E}"/>
            </c:ext>
          </c:extLst>
        </c:ser>
        <c:ser>
          <c:idx val="1"/>
          <c:order val="1"/>
          <c:tx>
            <c:strRef>
              <c:f>'Power Draw vs. Thrust'!$A$84</c:f>
              <c:strCache>
                <c:ptCount val="1"/>
                <c:pt idx="0">
                  <c:v>v = 0.5 m/s</c:v>
                </c:pt>
              </c:strCache>
            </c:strRef>
          </c:tx>
          <c:spPr>
            <a:ln w="25400" cap="rnd">
              <a:solidFill>
                <a:schemeClr val="accent1">
                  <a:shade val="65000"/>
                </a:schemeClr>
              </a:solidFill>
              <a:round/>
            </a:ln>
            <a:effectLst>
              <a:outerShdw blurRad="40000" dist="23000" dir="5400000" rotWithShape="0">
                <a:srgbClr val="000000">
                  <a:alpha val="35000"/>
                </a:srgbClr>
              </a:outerShdw>
            </a:effectLst>
          </c:spPr>
          <c:marker>
            <c:symbol val="none"/>
          </c:marker>
          <c:xVal>
            <c:numRef>
              <c:f>'Power Draw vs. Thrust'!$C$84:$C$99</c:f>
              <c:numCache>
                <c:formatCode>General</c:formatCode>
                <c:ptCount val="1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numCache>
            </c:numRef>
          </c:xVal>
          <c:yVal>
            <c:numRef>
              <c:f>'Power Draw vs. Thrust'!$Z$84:$Z$99</c:f>
              <c:numCache>
                <c:formatCode>General</c:formatCode>
                <c:ptCount val="16"/>
                <c:pt idx="0">
                  <c:v>4.0933200333329385</c:v>
                </c:pt>
                <c:pt idx="1">
                  <c:v>5.49660203657319</c:v>
                </c:pt>
                <c:pt idx="2">
                  <c:v>6.7844776486452112</c:v>
                </c:pt>
                <c:pt idx="3">
                  <c:v>8.2956446058650606</c:v>
                </c:pt>
                <c:pt idx="4">
                  <c:v>9.9380233659746153</c:v>
                </c:pt>
                <c:pt idx="5">
                  <c:v>11.743081084830907</c:v>
                </c:pt>
                <c:pt idx="6">
                  <c:v>13.650383707151843</c:v>
                </c:pt>
                <c:pt idx="7">
                  <c:v>15.620599359943238</c:v>
                </c:pt>
                <c:pt idx="8">
                  <c:v>17.707292927766979</c:v>
                </c:pt>
                <c:pt idx="9">
                  <c:v>19.85440393930573</c:v>
                </c:pt>
                <c:pt idx="10">
                  <c:v>22.068736584507075</c:v>
                </c:pt>
                <c:pt idx="11">
                  <c:v>24.34233588281138</c:v>
                </c:pt>
                <c:pt idx="12">
                  <c:v>26.726722238981555</c:v>
                </c:pt>
                <c:pt idx="13">
                  <c:v>29.112275260733629</c:v>
                </c:pt>
                <c:pt idx="14">
                  <c:v>31.399789789624236</c:v>
                </c:pt>
                <c:pt idx="15">
                  <c:v>33.639358924988798</c:v>
                </c:pt>
              </c:numCache>
            </c:numRef>
          </c:yVal>
          <c:smooth val="1"/>
          <c:extLst>
            <c:ext xmlns:c16="http://schemas.microsoft.com/office/drawing/2014/chart" uri="{C3380CC4-5D6E-409C-BE32-E72D297353CC}">
              <c16:uniqueId val="{00000002-A5C1-4966-B4DA-5AE19592681E}"/>
            </c:ext>
          </c:extLst>
        </c:ser>
        <c:ser>
          <c:idx val="2"/>
          <c:order val="2"/>
          <c:tx>
            <c:strRef>
              <c:f>'Power Draw vs. Thrust'!$A$100</c:f>
              <c:strCache>
                <c:ptCount val="1"/>
                <c:pt idx="0">
                  <c:v>v = 1.0 m/s</c:v>
                </c:pt>
              </c:strCache>
            </c:strRef>
          </c:tx>
          <c:spPr>
            <a:ln w="25400" cap="rnd">
              <a:solidFill>
                <a:schemeClr val="accent1">
                  <a:shade val="82000"/>
                </a:schemeClr>
              </a:solidFill>
              <a:round/>
            </a:ln>
            <a:effectLst>
              <a:outerShdw blurRad="40000" dist="23000" dir="5400000" rotWithShape="0">
                <a:srgbClr val="000000">
                  <a:alpha val="35000"/>
                </a:srgbClr>
              </a:outerShdw>
            </a:effectLst>
          </c:spPr>
          <c:marker>
            <c:symbol val="none"/>
          </c:marker>
          <c:xVal>
            <c:numRef>
              <c:f>'Power Draw vs. Thrust'!$C$100:$C$115</c:f>
              <c:numCache>
                <c:formatCode>General</c:formatCode>
                <c:ptCount val="1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numCache>
            </c:numRef>
          </c:xVal>
          <c:yVal>
            <c:numRef>
              <c:f>'Power Draw vs. Thrust'!$Z$100:$Z$115</c:f>
              <c:numCache>
                <c:formatCode>General</c:formatCode>
                <c:ptCount val="16"/>
                <c:pt idx="0">
                  <c:v>16.285396432177183</c:v>
                </c:pt>
                <c:pt idx="1">
                  <c:v>18.735938142241785</c:v>
                </c:pt>
                <c:pt idx="2">
                  <c:v>21.195100485059722</c:v>
                </c:pt>
                <c:pt idx="3">
                  <c:v>23.674242191353343</c:v>
                </c:pt>
                <c:pt idx="4">
                  <c:v>26.29208742583787</c:v>
                </c:pt>
                <c:pt idx="5">
                  <c:v>28.979203581619512</c:v>
                </c:pt>
                <c:pt idx="6">
                  <c:v>31.758230221026768</c:v>
                </c:pt>
                <c:pt idx="7">
                  <c:v>34.556216066934645</c:v>
                </c:pt>
                <c:pt idx="8">
                  <c:v>37.373961728682673</c:v>
                </c:pt>
                <c:pt idx="9">
                  <c:v>40.072664603022687</c:v>
                </c:pt>
                <c:pt idx="10">
                  <c:v>42.378789020103966</c:v>
                </c:pt>
                <c:pt idx="11">
                  <c:v>44.83363392728775</c:v>
                </c:pt>
                <c:pt idx="12">
                  <c:v>47.801934166662271</c:v>
                </c:pt>
                <c:pt idx="13">
                  <c:v>50.773488880978725</c:v>
                </c:pt>
                <c:pt idx="14">
                  <c:v>53.824606490915727</c:v>
                </c:pt>
                <c:pt idx="15">
                  <c:v>56.977802857496407</c:v>
                </c:pt>
              </c:numCache>
            </c:numRef>
          </c:yVal>
          <c:smooth val="1"/>
          <c:extLst>
            <c:ext xmlns:c16="http://schemas.microsoft.com/office/drawing/2014/chart" uri="{C3380CC4-5D6E-409C-BE32-E72D297353CC}">
              <c16:uniqueId val="{00000003-A5C1-4966-B4DA-5AE19592681E}"/>
            </c:ext>
          </c:extLst>
        </c:ser>
        <c:ser>
          <c:idx val="3"/>
          <c:order val="3"/>
          <c:tx>
            <c:strRef>
              <c:f>'Power Draw vs. Thrust'!$A$116</c:f>
              <c:strCache>
                <c:ptCount val="1"/>
                <c:pt idx="0">
                  <c:v>v = 1.5 m/s</c:v>
                </c:pt>
              </c:strCache>
            </c:strRef>
          </c:tx>
          <c:spPr>
            <a:ln w="25400" cap="rnd">
              <a:solidFill>
                <a:schemeClr val="accent1"/>
              </a:solidFill>
              <a:round/>
            </a:ln>
            <a:effectLst>
              <a:outerShdw blurRad="40000" dist="23000" dir="5400000" rotWithShape="0">
                <a:srgbClr val="000000">
                  <a:alpha val="35000"/>
                </a:srgbClr>
              </a:outerShdw>
            </a:effectLst>
          </c:spPr>
          <c:marker>
            <c:symbol val="none"/>
          </c:marker>
          <c:xVal>
            <c:numRef>
              <c:f>'Power Draw vs. Thrust'!$C$116:$C$131</c:f>
              <c:numCache>
                <c:formatCode>General</c:formatCode>
                <c:ptCount val="1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numCache>
            </c:numRef>
          </c:xVal>
          <c:yVal>
            <c:numRef>
              <c:f>'Power Draw vs. Thrust'!$Z$116:$Z$131</c:f>
              <c:numCache>
                <c:formatCode>General</c:formatCode>
                <c:ptCount val="16"/>
                <c:pt idx="0">
                  <c:v>46.436680761757714</c:v>
                </c:pt>
                <c:pt idx="1">
                  <c:v>49.868177684305472</c:v>
                </c:pt>
                <c:pt idx="2">
                  <c:v>53.473076888535296</c:v>
                </c:pt>
                <c:pt idx="3">
                  <c:v>57.27351297424017</c:v>
                </c:pt>
                <c:pt idx="4">
                  <c:v>61.08469381637331</c:v>
                </c:pt>
                <c:pt idx="5">
                  <c:v>64.882596317081763</c:v>
                </c:pt>
                <c:pt idx="6">
                  <c:v>68.694185802502474</c:v>
                </c:pt>
                <c:pt idx="7">
                  <c:v>72.519405018136482</c:v>
                </c:pt>
                <c:pt idx="8">
                  <c:v>76.417478356437755</c:v>
                </c:pt>
                <c:pt idx="9">
                  <c:v>80.494750654559439</c:v>
                </c:pt>
                <c:pt idx="10">
                  <c:v>84.583320798481964</c:v>
                </c:pt>
                <c:pt idx="11">
                  <c:v>88.681918647523858</c:v>
                </c:pt>
                <c:pt idx="12">
                  <c:v>92.897527232947539</c:v>
                </c:pt>
                <c:pt idx="13">
                  <c:v>97.255300354772359</c:v>
                </c:pt>
                <c:pt idx="14">
                  <c:v>101.623818240079</c:v>
                </c:pt>
                <c:pt idx="15">
                  <c:v>106.00194704271911</c:v>
                </c:pt>
              </c:numCache>
            </c:numRef>
          </c:yVal>
          <c:smooth val="1"/>
          <c:extLst>
            <c:ext xmlns:c16="http://schemas.microsoft.com/office/drawing/2014/chart" uri="{C3380CC4-5D6E-409C-BE32-E72D297353CC}">
              <c16:uniqueId val="{00000004-A5C1-4966-B4DA-5AE19592681E}"/>
            </c:ext>
          </c:extLst>
        </c:ser>
        <c:ser>
          <c:idx val="4"/>
          <c:order val="4"/>
          <c:tx>
            <c:strRef>
              <c:f>'Power Draw vs. Thrust'!$A$132</c:f>
              <c:strCache>
                <c:ptCount val="1"/>
                <c:pt idx="0">
                  <c:v>v = 2.0 m/s</c:v>
                </c:pt>
              </c:strCache>
              <c:extLst xmlns:c15="http://schemas.microsoft.com/office/drawing/2012/chart"/>
            </c:strRef>
          </c:tx>
          <c:spPr>
            <a:ln w="25400" cap="rnd">
              <a:solidFill>
                <a:schemeClr val="accent1">
                  <a:tint val="83000"/>
                </a:schemeClr>
              </a:solidFill>
              <a:round/>
            </a:ln>
            <a:effectLst>
              <a:outerShdw blurRad="40000" dist="23000" dir="5400000" rotWithShape="0">
                <a:srgbClr val="000000">
                  <a:alpha val="35000"/>
                </a:srgbClr>
              </a:outerShdw>
            </a:effectLst>
          </c:spPr>
          <c:marker>
            <c:symbol val="none"/>
          </c:marker>
          <c:xVal>
            <c:numRef>
              <c:f>'Power Draw vs. Thrust'!$C$132:$C$147</c:f>
              <c:numCache>
                <c:formatCode>General</c:formatCode>
                <c:ptCount val="1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numCache>
            </c:numRef>
          </c:xVal>
          <c:yVal>
            <c:numRef>
              <c:f>'Power Draw vs. Thrust'!$Z$132:$Z$147</c:f>
              <c:numCache>
                <c:formatCode>General</c:formatCode>
                <c:ptCount val="16"/>
                <c:pt idx="0">
                  <c:v>104.73327973163629</c:v>
                </c:pt>
                <c:pt idx="1">
                  <c:v>109.45698272480669</c:v>
                </c:pt>
                <c:pt idx="2">
                  <c:v>114.19435028877378</c:v>
                </c:pt>
                <c:pt idx="3">
                  <c:v>118.94434130587099</c:v>
                </c:pt>
                <c:pt idx="4">
                  <c:v>123.9461854657485</c:v>
                </c:pt>
                <c:pt idx="5">
                  <c:v>129.20148962867648</c:v>
                </c:pt>
                <c:pt idx="6">
                  <c:v>134.46944961570907</c:v>
                </c:pt>
                <c:pt idx="7">
                  <c:v>139.74896558175939</c:v>
                </c:pt>
                <c:pt idx="8">
                  <c:v>145.03876206221159</c:v>
                </c:pt>
                <c:pt idx="9">
                  <c:v>150.33086848687617</c:v>
                </c:pt>
                <c:pt idx="10">
                  <c:v>155.63912030936206</c:v>
                </c:pt>
                <c:pt idx="11">
                  <c:v>160.96266364612239</c:v>
                </c:pt>
                <c:pt idx="12">
                  <c:v>166.30067886125735</c:v>
                </c:pt>
                <c:pt idx="13">
                  <c:v>171.65237912669579</c:v>
                </c:pt>
                <c:pt idx="14">
                  <c:v>177.017009048783</c:v>
                </c:pt>
                <c:pt idx="15">
                  <c:v>182.54513327551132</c:v>
                </c:pt>
              </c:numCache>
              <c:extLst xmlns:c15="http://schemas.microsoft.com/office/drawing/2012/chart"/>
            </c:numRef>
          </c:yVal>
          <c:smooth val="1"/>
          <c:extLst xmlns:c15="http://schemas.microsoft.com/office/drawing/2012/chart">
            <c:ext xmlns:c16="http://schemas.microsoft.com/office/drawing/2014/chart" uri="{C3380CC4-5D6E-409C-BE32-E72D297353CC}">
              <c16:uniqueId val="{00000005-A5C1-4966-B4DA-5AE19592681E}"/>
            </c:ext>
          </c:extLst>
        </c:ser>
        <c:ser>
          <c:idx val="5"/>
          <c:order val="5"/>
          <c:tx>
            <c:strRef>
              <c:f>'Power Draw vs. Thrust'!$A$148</c:f>
              <c:strCache>
                <c:ptCount val="1"/>
                <c:pt idx="0">
                  <c:v>v = 2.5 m/s</c:v>
                </c:pt>
              </c:strCache>
              <c:extLst xmlns:c15="http://schemas.microsoft.com/office/drawing/2012/chart"/>
            </c:strRef>
          </c:tx>
          <c:spPr>
            <a:ln w="25400" cap="rnd">
              <a:solidFill>
                <a:schemeClr val="accent1">
                  <a:tint val="65000"/>
                </a:schemeClr>
              </a:solidFill>
              <a:round/>
            </a:ln>
            <a:effectLst>
              <a:outerShdw blurRad="40000" dist="23000" dir="5400000" rotWithShape="0">
                <a:srgbClr val="000000">
                  <a:alpha val="35000"/>
                </a:srgbClr>
              </a:outerShdw>
            </a:effectLst>
          </c:spPr>
          <c:marker>
            <c:symbol val="none"/>
          </c:marker>
          <c:xVal>
            <c:numRef>
              <c:f>'Power Draw vs. Thrust'!$C$148:$C$163</c:f>
              <c:numCache>
                <c:formatCode>General</c:formatCode>
                <c:ptCount val="1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numCache>
            </c:numRef>
          </c:xVal>
          <c:yVal>
            <c:numRef>
              <c:f>'Power Draw vs. Thrust'!$Z$148:$Z$163</c:f>
              <c:numCache>
                <c:formatCode>General</c:formatCode>
                <c:ptCount val="16"/>
                <c:pt idx="0">
                  <c:v>202.49020492293539</c:v>
                </c:pt>
                <c:pt idx="1">
                  <c:v>208.61442116476812</c:v>
                </c:pt>
                <c:pt idx="2">
                  <c:v>214.75340534938525</c:v>
                </c:pt>
                <c:pt idx="3">
                  <c:v>220.90645158528628</c:v>
                </c:pt>
                <c:pt idx="4">
                  <c:v>227.07287889389104</c:v>
                </c:pt>
                <c:pt idx="5">
                  <c:v>233.2520302909208</c:v>
                </c:pt>
                <c:pt idx="6">
                  <c:v>239.44327190491515</c:v>
                </c:pt>
                <c:pt idx="7">
                  <c:v>246.25493297630052</c:v>
                </c:pt>
                <c:pt idx="8">
                  <c:v>253.10045737661488</c:v>
                </c:pt>
                <c:pt idx="9">
                  <c:v>259.95924551083135</c:v>
                </c:pt>
                <c:pt idx="10">
                  <c:v>266.83057043046756</c:v>
                </c:pt>
                <c:pt idx="11">
                  <c:v>273.7137320767194</c:v>
                </c:pt>
                <c:pt idx="12">
                  <c:v>280.6080562538101</c:v>
                </c:pt>
                <c:pt idx="13">
                  <c:v>287.51289364513826</c:v>
                </c:pt>
                <c:pt idx="14">
                  <c:v>294.44140085467279</c:v>
                </c:pt>
                <c:pt idx="15">
                  <c:v>301.38695359581658</c:v>
                </c:pt>
              </c:numCache>
              <c:extLst xmlns:c15="http://schemas.microsoft.com/office/drawing/2012/chart"/>
            </c:numRef>
          </c:yVal>
          <c:smooth val="1"/>
          <c:extLst xmlns:c15="http://schemas.microsoft.com/office/drawing/2012/chart">
            <c:ext xmlns:c16="http://schemas.microsoft.com/office/drawing/2014/chart" uri="{C3380CC4-5D6E-409C-BE32-E72D297353CC}">
              <c16:uniqueId val="{00000006-A5C1-4966-B4DA-5AE19592681E}"/>
            </c:ext>
          </c:extLst>
        </c:ser>
        <c:ser>
          <c:idx val="6"/>
          <c:order val="6"/>
          <c:tx>
            <c:strRef>
              <c:f>'Power Draw vs. Thrust'!$A$164</c:f>
              <c:strCache>
                <c:ptCount val="1"/>
                <c:pt idx="0">
                  <c:v>v = 3.0 m/s</c:v>
                </c:pt>
              </c:strCache>
              <c:extLst xmlns:c15="http://schemas.microsoft.com/office/drawing/2012/chart"/>
            </c:strRef>
          </c:tx>
          <c:spPr>
            <a:ln w="25400" cap="rnd">
              <a:solidFill>
                <a:schemeClr val="accent1">
                  <a:tint val="48000"/>
                </a:schemeClr>
              </a:solidFill>
              <a:round/>
            </a:ln>
            <a:effectLst>
              <a:outerShdw blurRad="40000" dist="23000" dir="5400000" rotWithShape="0">
                <a:srgbClr val="000000">
                  <a:alpha val="35000"/>
                </a:srgbClr>
              </a:outerShdw>
            </a:effectLst>
          </c:spPr>
          <c:marker>
            <c:symbol val="none"/>
          </c:marker>
          <c:xVal>
            <c:numRef>
              <c:f>'Power Draw vs. Thrust'!$C$164:$C$179</c:f>
              <c:numCache>
                <c:formatCode>General</c:formatCode>
                <c:ptCount val="1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numCache>
            </c:numRef>
          </c:xVal>
          <c:yVal>
            <c:numRef>
              <c:f>'Power Draw vs. Thrust'!$Z$164:$Z$179</c:f>
              <c:numCache>
                <c:formatCode>General</c:formatCode>
                <c:ptCount val="16"/>
                <c:pt idx="0">
                  <c:v>352.06288291221995</c:v>
                </c:pt>
                <c:pt idx="1">
                  <c:v>359.69350996424384</c:v>
                </c:pt>
                <c:pt idx="2">
                  <c:v>367.3395232777417</c:v>
                </c:pt>
                <c:pt idx="3">
                  <c:v>375.0004170684914</c:v>
                </c:pt>
                <c:pt idx="4">
                  <c:v>382.67569801666548</c:v>
                </c:pt>
                <c:pt idx="5">
                  <c:v>390.36488494476561</c:v>
                </c:pt>
                <c:pt idx="6">
                  <c:v>398.06750850470161</c:v>
                </c:pt>
                <c:pt idx="7">
                  <c:v>405.78311087372646</c:v>
                </c:pt>
                <c:pt idx="8">
                  <c:v>413.51124545895283</c:v>
                </c:pt>
                <c:pt idx="9">
                  <c:v>421.25147661018076</c:v>
                </c:pt>
                <c:pt idx="10">
                  <c:v>429.69275694778793</c:v>
                </c:pt>
                <c:pt idx="11">
                  <c:v>438.24730202448029</c:v>
                </c:pt>
                <c:pt idx="12">
                  <c:v>446.81579506010979</c:v>
                </c:pt>
                <c:pt idx="13">
                  <c:v>455.39771329217268</c:v>
                </c:pt>
                <c:pt idx="14">
                  <c:v>463.99254745850004</c:v>
                </c:pt>
                <c:pt idx="15">
                  <c:v>472.59980143593782</c:v>
                </c:pt>
              </c:numCache>
              <c:extLst xmlns:c15="http://schemas.microsoft.com/office/drawing/2012/chart"/>
            </c:numRef>
          </c:yVal>
          <c:smooth val="1"/>
          <c:extLst xmlns:c15="http://schemas.microsoft.com/office/drawing/2012/chart">
            <c:ext xmlns:c16="http://schemas.microsoft.com/office/drawing/2014/chart" uri="{C3380CC4-5D6E-409C-BE32-E72D297353CC}">
              <c16:uniqueId val="{00000007-A5C1-4966-B4DA-5AE19592681E}"/>
            </c:ext>
          </c:extLst>
        </c:ser>
        <c:dLbls>
          <c:showLegendKey val="0"/>
          <c:showVal val="0"/>
          <c:showCatName val="0"/>
          <c:showSerName val="0"/>
          <c:showPercent val="0"/>
          <c:showBubbleSize val="0"/>
        </c:dLbls>
        <c:axId val="624292264"/>
        <c:axId val="624294232"/>
        <c:extLst/>
      </c:scatterChart>
      <c:valAx>
        <c:axId val="62429226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1100"/>
                  <a:t>Thrust (N)</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4294232"/>
        <c:crosses val="autoZero"/>
        <c:crossBetween val="midCat"/>
      </c:valAx>
      <c:valAx>
        <c:axId val="624294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1100"/>
                  <a:t>Total Power Draw (watts)</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429226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857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3</xdr:col>
      <xdr:colOff>604835</xdr:colOff>
      <xdr:row>6</xdr:row>
      <xdr:rowOff>100012</xdr:rowOff>
    </xdr:from>
    <xdr:to>
      <xdr:col>11</xdr:col>
      <xdr:colOff>300035</xdr:colOff>
      <xdr:row>24</xdr:row>
      <xdr:rowOff>128587</xdr:rowOff>
    </xdr:to>
    <xdr:graphicFrame macro="">
      <xdr:nvGraphicFramePr>
        <xdr:cNvPr id="2" name="Chart 1">
          <a:extLst>
            <a:ext uri="{FF2B5EF4-FFF2-40B4-BE49-F238E27FC236}">
              <a16:creationId xmlns:a16="http://schemas.microsoft.com/office/drawing/2014/main" id="{A5EB1EF1-C846-49B3-82C0-3CFD61EA70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838201</xdr:colOff>
      <xdr:row>8</xdr:row>
      <xdr:rowOff>28573</xdr:rowOff>
    </xdr:from>
    <xdr:to>
      <xdr:col>7</xdr:col>
      <xdr:colOff>542926</xdr:colOff>
      <xdr:row>27</xdr:row>
      <xdr:rowOff>66673</xdr:rowOff>
    </xdr:to>
    <xdr:graphicFrame macro="">
      <xdr:nvGraphicFramePr>
        <xdr:cNvPr id="2" name="Chart 1">
          <a:extLst>
            <a:ext uri="{FF2B5EF4-FFF2-40B4-BE49-F238E27FC236}">
              <a16:creationId xmlns:a16="http://schemas.microsoft.com/office/drawing/2014/main" id="{AA609D20-CB93-4C9F-AD8E-B825685C1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438150</xdr:colOff>
      <xdr:row>7</xdr:row>
      <xdr:rowOff>180974</xdr:rowOff>
    </xdr:from>
    <xdr:to>
      <xdr:col>18</xdr:col>
      <xdr:colOff>133350</xdr:colOff>
      <xdr:row>27</xdr:row>
      <xdr:rowOff>28574</xdr:rowOff>
    </xdr:to>
    <xdr:graphicFrame macro="">
      <xdr:nvGraphicFramePr>
        <xdr:cNvPr id="3" name="Chart 2">
          <a:extLst>
            <a:ext uri="{FF2B5EF4-FFF2-40B4-BE49-F238E27FC236}">
              <a16:creationId xmlns:a16="http://schemas.microsoft.com/office/drawing/2014/main" id="{7F7E99F5-E619-49E7-9E6B-CF016E18E7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8</xdr:col>
      <xdr:colOff>161923</xdr:colOff>
      <xdr:row>4</xdr:row>
      <xdr:rowOff>0</xdr:rowOff>
    </xdr:from>
    <xdr:to>
      <xdr:col>17</xdr:col>
      <xdr:colOff>161923</xdr:colOff>
      <xdr:row>27</xdr:row>
      <xdr:rowOff>0</xdr:rowOff>
    </xdr:to>
    <xdr:graphicFrame macro="">
      <xdr:nvGraphicFramePr>
        <xdr:cNvPr id="7" name="Chart 6">
          <a:extLst>
            <a:ext uri="{FF2B5EF4-FFF2-40B4-BE49-F238E27FC236}">
              <a16:creationId xmlns:a16="http://schemas.microsoft.com/office/drawing/2014/main" id="{3B261AE1-4F12-4377-90DA-633700B868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1E2EC-0176-47EC-97A5-D1E812328529}">
  <dimension ref="A1:A10"/>
  <sheetViews>
    <sheetView tabSelected="1" workbookViewId="0">
      <selection activeCell="A11" sqref="A11"/>
    </sheetView>
  </sheetViews>
  <sheetFormatPr defaultRowHeight="15"/>
  <cols>
    <col min="1" max="1" width="151.28515625" customWidth="1"/>
  </cols>
  <sheetData>
    <row r="1" spans="1:1">
      <c r="A1" s="84" t="s">
        <v>150</v>
      </c>
    </row>
    <row r="3" spans="1:1" ht="105">
      <c r="A3" s="4" t="s">
        <v>151</v>
      </c>
    </row>
    <row r="5" spans="1:1">
      <c r="A5" s="64" t="s">
        <v>88</v>
      </c>
    </row>
    <row r="6" spans="1:1">
      <c r="A6" s="65" t="s">
        <v>114</v>
      </c>
    </row>
    <row r="7" spans="1:1">
      <c r="A7" s="65" t="s">
        <v>152</v>
      </c>
    </row>
    <row r="8" spans="1:1">
      <c r="A8" s="69" t="s">
        <v>97</v>
      </c>
    </row>
    <row r="9" spans="1:1">
      <c r="A9" s="69" t="s">
        <v>103</v>
      </c>
    </row>
    <row r="10" spans="1:1">
      <c r="A10" s="69" t="s">
        <v>125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36"/>
  <sheetViews>
    <sheetView topLeftCell="B1" workbookViewId="0">
      <selection activeCell="C10" sqref="C10"/>
    </sheetView>
  </sheetViews>
  <sheetFormatPr defaultRowHeight="15"/>
  <cols>
    <col min="2" max="2" width="34.28515625" customWidth="1"/>
    <col min="3" max="6" width="10.7109375" customWidth="1"/>
    <col min="7" max="7" width="84.28515625" style="8" customWidth="1"/>
  </cols>
  <sheetData>
    <row r="1" spans="2:7" ht="60" customHeight="1">
      <c r="B1" s="77" t="s">
        <v>105</v>
      </c>
      <c r="C1" s="122" t="s">
        <v>115</v>
      </c>
      <c r="D1" s="122"/>
      <c r="E1" s="122"/>
      <c r="F1" s="122"/>
      <c r="G1" s="122"/>
    </row>
    <row r="2" spans="2:7">
      <c r="B2" s="65"/>
      <c r="C2" s="75"/>
      <c r="D2" s="75"/>
      <c r="E2" s="75"/>
      <c r="F2" s="75"/>
      <c r="G2" s="75"/>
    </row>
    <row r="3" spans="2:7">
      <c r="B3" s="65"/>
      <c r="C3" s="75"/>
      <c r="D3" s="75"/>
      <c r="E3" s="75"/>
      <c r="F3" s="75"/>
      <c r="G3" s="75"/>
    </row>
    <row r="4" spans="2:7">
      <c r="B4" s="65"/>
      <c r="C4" s="64" t="s">
        <v>55</v>
      </c>
      <c r="D4" s="64" t="s">
        <v>56</v>
      </c>
      <c r="E4" s="64" t="s">
        <v>54</v>
      </c>
      <c r="F4" s="64" t="s">
        <v>56</v>
      </c>
      <c r="G4" s="78" t="s">
        <v>87</v>
      </c>
    </row>
    <row r="5" spans="2:7">
      <c r="B5" s="78" t="s">
        <v>89</v>
      </c>
      <c r="C5" s="78"/>
      <c r="D5" s="78"/>
      <c r="E5" s="78"/>
      <c r="F5" s="78"/>
      <c r="G5" s="78"/>
    </row>
    <row r="6" spans="2:7" ht="17.25">
      <c r="B6" s="65" t="s">
        <v>31</v>
      </c>
      <c r="C6" s="67">
        <v>1025</v>
      </c>
      <c r="D6" s="65" t="s">
        <v>53</v>
      </c>
      <c r="E6" s="68">
        <f>C6*2.2*(12*0.0254)^3</f>
        <v>63.854489064959978</v>
      </c>
      <c r="F6" s="65" t="s">
        <v>57</v>
      </c>
      <c r="G6" s="92" t="s">
        <v>102</v>
      </c>
    </row>
    <row r="7" spans="2:7" ht="17.25">
      <c r="B7" s="65" t="s">
        <v>116</v>
      </c>
      <c r="C7" s="67">
        <v>0.03</v>
      </c>
      <c r="D7" s="65" t="s">
        <v>49</v>
      </c>
      <c r="E7" s="68">
        <f>C7/0.0254^2</f>
        <v>46.500093000185998</v>
      </c>
      <c r="F7" s="65" t="s">
        <v>52</v>
      </c>
      <c r="G7" s="93" t="s">
        <v>117</v>
      </c>
    </row>
    <row r="8" spans="2:7" ht="17.25">
      <c r="B8" s="65" t="s">
        <v>118</v>
      </c>
      <c r="C8" s="67">
        <v>0.3</v>
      </c>
      <c r="D8" s="65"/>
      <c r="E8" s="65">
        <f>C8</f>
        <v>0.3</v>
      </c>
      <c r="F8" s="65"/>
      <c r="G8" s="93" t="s">
        <v>119</v>
      </c>
    </row>
    <row r="9" spans="2:7">
      <c r="B9" s="65" t="s">
        <v>121</v>
      </c>
      <c r="C9" s="67">
        <v>1.2</v>
      </c>
      <c r="D9" s="65" t="s">
        <v>1</v>
      </c>
      <c r="E9" s="68">
        <f>C9*1.94384</f>
        <v>2.332608</v>
      </c>
      <c r="F9" s="65" t="s">
        <v>51</v>
      </c>
      <c r="G9" s="93" t="s">
        <v>120</v>
      </c>
    </row>
    <row r="10" spans="2:7">
      <c r="B10" s="65" t="s">
        <v>104</v>
      </c>
      <c r="C10" s="67">
        <v>10</v>
      </c>
      <c r="D10" s="69" t="s">
        <v>3</v>
      </c>
      <c r="E10" s="68">
        <f>C10/9.81*2.2</f>
        <v>2.2426095820591234</v>
      </c>
      <c r="F10" s="65" t="s">
        <v>50</v>
      </c>
      <c r="G10" s="92" t="s">
        <v>149</v>
      </c>
    </row>
    <row r="11" spans="2:7">
      <c r="B11" s="65"/>
      <c r="C11" s="65"/>
      <c r="D11" s="65"/>
      <c r="E11" s="65"/>
      <c r="F11" s="65"/>
      <c r="G11" s="93"/>
    </row>
    <row r="12" spans="2:7">
      <c r="B12" s="76" t="s">
        <v>91</v>
      </c>
      <c r="C12" s="65"/>
      <c r="D12" s="65"/>
      <c r="E12" s="65"/>
      <c r="F12" s="65"/>
      <c r="G12" s="93"/>
    </row>
    <row r="13" spans="2:7" ht="17.25">
      <c r="B13" s="65" t="s">
        <v>122</v>
      </c>
      <c r="C13" s="68">
        <f>C8*C7*0.5*C6*C9^2</f>
        <v>6.6419999999999995</v>
      </c>
      <c r="D13" s="65" t="s">
        <v>3</v>
      </c>
      <c r="E13" s="68">
        <f>C13/9.81*2.2</f>
        <v>1.4895412844036695</v>
      </c>
      <c r="F13" s="65" t="s">
        <v>50</v>
      </c>
      <c r="G13" s="94" t="s">
        <v>123</v>
      </c>
    </row>
    <row r="14" spans="2:7">
      <c r="B14" s="65" t="s">
        <v>90</v>
      </c>
      <c r="C14" s="68">
        <f>C13*C9</f>
        <v>7.9703999999999988</v>
      </c>
      <c r="D14" s="65" t="s">
        <v>0</v>
      </c>
      <c r="E14" s="68">
        <f>C14</f>
        <v>7.9703999999999988</v>
      </c>
      <c r="F14" s="69" t="s">
        <v>0</v>
      </c>
      <c r="G14" s="94" t="s">
        <v>148</v>
      </c>
    </row>
    <row r="15" spans="2:7">
      <c r="B15" s="65" t="s">
        <v>2</v>
      </c>
      <c r="C15" s="68">
        <f>IF(C9=0,C10,C13)</f>
        <v>6.6419999999999995</v>
      </c>
      <c r="D15" s="65" t="s">
        <v>3</v>
      </c>
      <c r="E15" s="68">
        <f>C15/9.81*2.2</f>
        <v>1.4895412844036695</v>
      </c>
      <c r="F15" s="65" t="s">
        <v>50</v>
      </c>
      <c r="G15" s="94" t="s">
        <v>124</v>
      </c>
    </row>
    <row r="16" spans="2:7">
      <c r="B16" s="65"/>
      <c r="C16" s="65"/>
      <c r="D16" s="65"/>
      <c r="E16" s="65"/>
      <c r="F16" s="65"/>
      <c r="G16" s="93"/>
    </row>
    <row r="17" spans="2:7">
      <c r="B17" s="76" t="s">
        <v>113</v>
      </c>
      <c r="C17" s="65"/>
      <c r="D17" s="65"/>
      <c r="E17" s="65"/>
      <c r="F17" s="65"/>
    </row>
    <row r="18" spans="2:7">
      <c r="B18" s="65" t="s">
        <v>98</v>
      </c>
      <c r="C18" s="70">
        <f>5*0.0254</f>
        <v>0.127</v>
      </c>
      <c r="D18" s="65" t="s">
        <v>20</v>
      </c>
      <c r="E18" s="79">
        <f>C18/0.0254</f>
        <v>5</v>
      </c>
      <c r="F18" s="65" t="s">
        <v>32</v>
      </c>
      <c r="G18" s="92" t="s">
        <v>147</v>
      </c>
    </row>
    <row r="19" spans="2:7">
      <c r="B19" s="65" t="s">
        <v>99</v>
      </c>
      <c r="C19" s="70">
        <f>6.5*0.0254</f>
        <v>0.1651</v>
      </c>
      <c r="D19" s="65" t="s">
        <v>20</v>
      </c>
      <c r="E19" s="79">
        <f t="shared" ref="E19:E21" si="0">C19/0.0254</f>
        <v>6.5</v>
      </c>
      <c r="F19" s="65" t="s">
        <v>32</v>
      </c>
      <c r="G19" s="93"/>
    </row>
    <row r="20" spans="2:7">
      <c r="B20" s="65" t="s">
        <v>100</v>
      </c>
      <c r="C20" s="70">
        <f>8*0.0254</f>
        <v>0.20319999999999999</v>
      </c>
      <c r="D20" s="65" t="s">
        <v>20</v>
      </c>
      <c r="E20" s="79">
        <f t="shared" si="0"/>
        <v>8</v>
      </c>
      <c r="F20" s="65" t="s">
        <v>32</v>
      </c>
      <c r="G20" s="93"/>
    </row>
    <row r="21" spans="2:7">
      <c r="B21" s="65" t="s">
        <v>101</v>
      </c>
      <c r="C21" s="70">
        <f>9.5*0.0254</f>
        <v>0.24129999999999999</v>
      </c>
      <c r="D21" s="65" t="s">
        <v>20</v>
      </c>
      <c r="E21" s="79">
        <f t="shared" si="0"/>
        <v>9.5</v>
      </c>
      <c r="F21" s="65" t="s">
        <v>32</v>
      </c>
      <c r="G21" s="93"/>
    </row>
    <row r="22" spans="2:7">
      <c r="B22" s="65"/>
      <c r="C22" s="65"/>
      <c r="D22" s="65"/>
      <c r="E22" s="65"/>
      <c r="F22" s="65"/>
      <c r="G22" s="93"/>
    </row>
    <row r="23" spans="2:7">
      <c r="B23" s="65"/>
      <c r="C23" s="65"/>
      <c r="D23" s="65"/>
      <c r="E23" s="65"/>
      <c r="F23" s="65"/>
      <c r="G23" s="93"/>
    </row>
    <row r="24" spans="2:7">
      <c r="B24" s="76" t="s">
        <v>92</v>
      </c>
      <c r="C24" s="65"/>
      <c r="D24" s="65"/>
      <c r="E24" s="65"/>
      <c r="F24" s="65"/>
      <c r="G24" s="93" t="s">
        <v>131</v>
      </c>
    </row>
    <row r="25" spans="2:7" s="2" customFormat="1" ht="30">
      <c r="B25" s="66" t="s">
        <v>86</v>
      </c>
      <c r="C25" s="72" t="s">
        <v>37</v>
      </c>
      <c r="D25" s="71" t="s">
        <v>38</v>
      </c>
      <c r="E25" s="72" t="s">
        <v>21</v>
      </c>
      <c r="F25" s="66"/>
      <c r="G25" s="93"/>
    </row>
    <row r="26" spans="2:7">
      <c r="B26" s="65" t="s">
        <v>81</v>
      </c>
      <c r="C26" s="73">
        <v>83</v>
      </c>
      <c r="D26" s="67">
        <v>105</v>
      </c>
      <c r="E26" s="73">
        <v>310</v>
      </c>
      <c r="F26" s="65" t="s">
        <v>75</v>
      </c>
      <c r="G26" s="93" t="s">
        <v>96</v>
      </c>
    </row>
    <row r="27" spans="2:7" ht="18">
      <c r="B27" s="65" t="s">
        <v>82</v>
      </c>
      <c r="C27" s="73">
        <v>0.41899999999999998</v>
      </c>
      <c r="D27" s="67">
        <v>0.15</v>
      </c>
      <c r="E27" s="73">
        <v>0.31</v>
      </c>
      <c r="F27" s="65" t="s">
        <v>78</v>
      </c>
      <c r="G27" s="93" t="s">
        <v>96</v>
      </c>
    </row>
    <row r="28" spans="2:7" ht="18">
      <c r="B28" s="65" t="s">
        <v>83</v>
      </c>
      <c r="C28" s="73">
        <v>0.24</v>
      </c>
      <c r="D28" s="67">
        <v>1.01</v>
      </c>
      <c r="E28" s="73">
        <v>0.17</v>
      </c>
      <c r="F28" s="65" t="s">
        <v>85</v>
      </c>
      <c r="G28" s="93" t="s">
        <v>96</v>
      </c>
    </row>
    <row r="29" spans="2:7">
      <c r="B29" s="65" t="s">
        <v>18</v>
      </c>
      <c r="C29" s="73">
        <v>1</v>
      </c>
      <c r="D29" s="67">
        <v>1</v>
      </c>
      <c r="E29" s="73">
        <v>1</v>
      </c>
      <c r="F29" s="65"/>
      <c r="G29" s="92" t="s">
        <v>93</v>
      </c>
    </row>
    <row r="30" spans="2:7">
      <c r="B30" s="65" t="s">
        <v>35</v>
      </c>
      <c r="C30" s="73">
        <v>1</v>
      </c>
      <c r="D30" s="67">
        <v>1</v>
      </c>
      <c r="E30" s="73">
        <v>1</v>
      </c>
      <c r="F30" s="65"/>
      <c r="G30" s="92" t="s">
        <v>94</v>
      </c>
    </row>
    <row r="31" spans="2:7">
      <c r="B31" s="65" t="s">
        <v>59</v>
      </c>
      <c r="C31" s="73">
        <v>0.9</v>
      </c>
      <c r="D31" s="67">
        <v>0.9</v>
      </c>
      <c r="E31" s="73">
        <v>0.9</v>
      </c>
      <c r="F31" s="65"/>
      <c r="G31" s="92" t="s">
        <v>95</v>
      </c>
    </row>
    <row r="32" spans="2:7">
      <c r="B32" s="65"/>
      <c r="C32" s="74"/>
      <c r="D32" s="65"/>
      <c r="E32" s="65"/>
      <c r="F32" s="65"/>
      <c r="G32" s="93"/>
    </row>
    <row r="33" spans="2:7">
      <c r="B33" s="65"/>
      <c r="C33" s="74"/>
      <c r="D33" s="65"/>
      <c r="E33" s="65"/>
      <c r="F33" s="65"/>
      <c r="G33" s="93"/>
    </row>
    <row r="34" spans="2:7">
      <c r="C34" s="65"/>
      <c r="D34" s="65"/>
      <c r="E34" s="65"/>
      <c r="F34" s="65"/>
      <c r="G34" s="93"/>
    </row>
    <row r="35" spans="2:7">
      <c r="C35" s="65"/>
      <c r="D35" s="65"/>
      <c r="E35" s="65"/>
      <c r="F35" s="65"/>
      <c r="G35" s="93"/>
    </row>
    <row r="36" spans="2:7">
      <c r="C36" s="65"/>
      <c r="D36" s="65"/>
      <c r="E36" s="65"/>
      <c r="F36" s="65"/>
      <c r="G36" s="93"/>
    </row>
  </sheetData>
  <mergeCells count="1">
    <mergeCell ref="C1:G1"/>
  </mergeCells>
  <phoneticPr fontId="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F4ECF-FE85-49FF-9463-3AF77BF4478D}">
  <dimension ref="A1:M39"/>
  <sheetViews>
    <sheetView workbookViewId="0">
      <selection activeCell="I5" sqref="I5"/>
    </sheetView>
  </sheetViews>
  <sheetFormatPr defaultRowHeight="15"/>
  <cols>
    <col min="1" max="3" width="15.7109375" customWidth="1"/>
  </cols>
  <sheetData>
    <row r="1" spans="1:13" ht="249.95" customHeight="1">
      <c r="A1" s="77" t="s">
        <v>105</v>
      </c>
      <c r="B1" s="122" t="s">
        <v>132</v>
      </c>
      <c r="C1" s="122"/>
      <c r="D1" s="122"/>
      <c r="E1" s="122"/>
      <c r="F1" s="122"/>
      <c r="G1" s="122"/>
      <c r="H1" s="122"/>
      <c r="I1" s="122"/>
      <c r="J1" s="122"/>
      <c r="K1" s="122"/>
      <c r="L1" s="122"/>
      <c r="M1" s="122"/>
    </row>
    <row r="3" spans="1:13" ht="15" customHeight="1"/>
    <row r="4" spans="1:13" ht="15" customHeight="1">
      <c r="A4" s="95" t="s">
        <v>154</v>
      </c>
      <c r="B4" s="120" t="s">
        <v>155</v>
      </c>
      <c r="C4" s="65"/>
      <c r="D4" s="65"/>
    </row>
    <row r="5" spans="1:13" ht="15" customHeight="1">
      <c r="A5" s="95" t="s">
        <v>153</v>
      </c>
      <c r="B5" s="120" t="s">
        <v>156</v>
      </c>
      <c r="C5" s="92"/>
      <c r="D5" s="92"/>
    </row>
    <row r="6" spans="1:13" ht="15" customHeight="1">
      <c r="A6" s="95" t="s">
        <v>146</v>
      </c>
      <c r="B6" s="121" t="str">
        <f>_xlfn.CONCAT("Propeller Coefficients, ",B4)</f>
        <v>Propeller Coefficients, APC 9x3</v>
      </c>
      <c r="C6" s="119"/>
      <c r="D6" s="119"/>
    </row>
    <row r="7" spans="1:13" ht="15" customHeight="1" thickBot="1">
      <c r="A7" s="125"/>
      <c r="B7" s="125"/>
      <c r="C7" s="125"/>
    </row>
    <row r="8" spans="1:13" ht="15.75" customHeight="1" thickBot="1">
      <c r="A8" s="123" t="s">
        <v>70</v>
      </c>
      <c r="B8" s="124"/>
      <c r="C8" s="124"/>
    </row>
    <row r="9" spans="1:13" s="2" customFormat="1" ht="30" customHeight="1">
      <c r="A9" s="104" t="s">
        <v>22</v>
      </c>
      <c r="B9" s="87" t="s">
        <v>23</v>
      </c>
      <c r="C9" s="105" t="s">
        <v>24</v>
      </c>
    </row>
    <row r="10" spans="1:13">
      <c r="A10" s="21">
        <v>0</v>
      </c>
      <c r="B10" s="12">
        <v>0.106</v>
      </c>
      <c r="C10" s="24">
        <v>6.7199999999999996E-2</v>
      </c>
    </row>
    <row r="11" spans="1:13">
      <c r="A11" s="21">
        <v>0.02</v>
      </c>
      <c r="B11" s="12">
        <v>0.1051</v>
      </c>
      <c r="C11" s="24">
        <v>6.6299999999999998E-2</v>
      </c>
    </row>
    <row r="12" spans="1:13">
      <c r="A12" s="21">
        <v>0.04</v>
      </c>
      <c r="B12" s="12">
        <v>0.1046</v>
      </c>
      <c r="C12" s="24">
        <v>6.5600000000000006E-2</v>
      </c>
    </row>
    <row r="13" spans="1:13">
      <c r="A13" s="21">
        <v>0.06</v>
      </c>
      <c r="B13" s="12">
        <v>0.1032</v>
      </c>
      <c r="C13" s="24">
        <v>6.4699999999999994E-2</v>
      </c>
    </row>
    <row r="14" spans="1:13">
      <c r="A14" s="21">
        <v>0.08</v>
      </c>
      <c r="B14" s="12">
        <v>0.10150000000000001</v>
      </c>
      <c r="C14" s="24">
        <v>6.3799999999999996E-2</v>
      </c>
    </row>
    <row r="15" spans="1:13">
      <c r="A15" s="21">
        <v>0.09</v>
      </c>
      <c r="B15" s="12">
        <v>9.9500000000000005E-2</v>
      </c>
      <c r="C15" s="24">
        <v>6.3100000000000003E-2</v>
      </c>
    </row>
    <row r="16" spans="1:13">
      <c r="A16" s="21">
        <v>0.11</v>
      </c>
      <c r="B16" s="12">
        <v>9.7299999999999998E-2</v>
      </c>
      <c r="C16" s="24">
        <v>6.2600000000000003E-2</v>
      </c>
    </row>
    <row r="17" spans="1:3">
      <c r="A17" s="21">
        <v>0.13</v>
      </c>
      <c r="B17" s="12">
        <v>9.4899999999999998E-2</v>
      </c>
      <c r="C17" s="24">
        <v>6.2E-2</v>
      </c>
    </row>
    <row r="18" spans="1:3">
      <c r="A18" s="21">
        <v>0.15</v>
      </c>
      <c r="B18" s="12">
        <v>9.2399999999999996E-2</v>
      </c>
      <c r="C18" s="24">
        <v>6.1400000000000003E-2</v>
      </c>
    </row>
    <row r="19" spans="1:3">
      <c r="A19" s="21">
        <v>0.17</v>
      </c>
      <c r="B19" s="12">
        <v>8.9800000000000005E-2</v>
      </c>
      <c r="C19" s="24">
        <v>6.08E-2</v>
      </c>
    </row>
    <row r="20" spans="1:3">
      <c r="A20" s="21">
        <v>0.19</v>
      </c>
      <c r="B20" s="12">
        <v>8.7099999999999997E-2</v>
      </c>
      <c r="C20" s="24">
        <v>6.0100000000000001E-2</v>
      </c>
    </row>
    <row r="21" spans="1:3">
      <c r="A21" s="21">
        <v>0.21</v>
      </c>
      <c r="B21" s="12">
        <v>8.4000000000000005E-2</v>
      </c>
      <c r="C21" s="24">
        <v>5.8900000000000001E-2</v>
      </c>
    </row>
    <row r="22" spans="1:3">
      <c r="A22" s="21">
        <v>0.23</v>
      </c>
      <c r="B22" s="12">
        <v>8.0299999999999996E-2</v>
      </c>
      <c r="C22" s="24">
        <v>5.7599999999999998E-2</v>
      </c>
    </row>
    <row r="23" spans="1:3">
      <c r="A23" s="21">
        <v>0.25</v>
      </c>
      <c r="B23" s="12">
        <v>7.6399999999999996E-2</v>
      </c>
      <c r="C23" s="24">
        <v>5.62E-2</v>
      </c>
    </row>
    <row r="24" spans="1:3">
      <c r="A24" s="21">
        <v>0.26</v>
      </c>
      <c r="B24" s="12">
        <v>7.2400000000000006E-2</v>
      </c>
      <c r="C24" s="24">
        <v>5.4699999999999999E-2</v>
      </c>
    </row>
    <row r="25" spans="1:3">
      <c r="A25" s="21">
        <v>0.28000000000000003</v>
      </c>
      <c r="B25" s="12">
        <v>6.8199999999999997E-2</v>
      </c>
      <c r="C25" s="24">
        <v>5.3100000000000001E-2</v>
      </c>
    </row>
    <row r="26" spans="1:3">
      <c r="A26" s="21">
        <v>0.3</v>
      </c>
      <c r="B26" s="12">
        <v>6.4000000000000001E-2</v>
      </c>
      <c r="C26" s="24">
        <v>5.1499999999999997E-2</v>
      </c>
    </row>
    <row r="27" spans="1:3">
      <c r="A27" s="21">
        <v>0.32</v>
      </c>
      <c r="B27" s="12">
        <v>5.9900000000000002E-2</v>
      </c>
      <c r="C27" s="24">
        <v>4.99E-2</v>
      </c>
    </row>
    <row r="28" spans="1:3">
      <c r="A28" s="21">
        <v>0.34</v>
      </c>
      <c r="B28" s="12">
        <v>5.57E-2</v>
      </c>
      <c r="C28" s="24">
        <v>4.8300000000000003E-2</v>
      </c>
    </row>
    <row r="29" spans="1:3">
      <c r="A29" s="21">
        <v>0.36</v>
      </c>
      <c r="B29" s="12">
        <v>5.1700000000000003E-2</v>
      </c>
      <c r="C29" s="24">
        <v>4.6800000000000001E-2</v>
      </c>
    </row>
    <row r="30" spans="1:3">
      <c r="A30" s="21">
        <v>0.38</v>
      </c>
      <c r="B30" s="12">
        <v>4.7600000000000003E-2</v>
      </c>
      <c r="C30" s="24">
        <v>4.5600000000000002E-2</v>
      </c>
    </row>
    <row r="31" spans="1:3">
      <c r="A31" s="21">
        <v>0.4</v>
      </c>
      <c r="B31" s="12">
        <v>4.3499999999999997E-2</v>
      </c>
      <c r="C31" s="24">
        <v>4.48E-2</v>
      </c>
    </row>
    <row r="32" spans="1:3">
      <c r="A32" s="21">
        <v>0.42</v>
      </c>
      <c r="B32" s="12">
        <v>3.8800000000000001E-2</v>
      </c>
      <c r="C32" s="24">
        <v>4.36E-2</v>
      </c>
    </row>
    <row r="33" spans="1:3">
      <c r="A33" s="21">
        <v>0.43</v>
      </c>
      <c r="B33" s="12">
        <v>3.3700000000000001E-2</v>
      </c>
      <c r="C33" s="24">
        <v>4.1799999999999997E-2</v>
      </c>
    </row>
    <row r="34" spans="1:3">
      <c r="A34" s="21">
        <v>0.45</v>
      </c>
      <c r="B34" s="12">
        <v>2.8500000000000001E-2</v>
      </c>
      <c r="C34" s="24">
        <v>4.0099999999999997E-2</v>
      </c>
    </row>
    <row r="35" spans="1:3">
      <c r="A35" s="21">
        <v>0.47</v>
      </c>
      <c r="B35" s="12">
        <v>2.3E-2</v>
      </c>
      <c r="C35" s="24">
        <v>3.7900000000000003E-2</v>
      </c>
    </row>
    <row r="36" spans="1:3">
      <c r="A36" s="21">
        <v>0.49</v>
      </c>
      <c r="B36" s="12">
        <v>1.7399999999999999E-2</v>
      </c>
      <c r="C36" s="24">
        <v>3.5700000000000003E-2</v>
      </c>
    </row>
    <row r="37" spans="1:3">
      <c r="A37" s="21">
        <v>0.51</v>
      </c>
      <c r="B37" s="12">
        <v>1.09E-2</v>
      </c>
      <c r="C37" s="24">
        <v>3.2800000000000003E-2</v>
      </c>
    </row>
    <row r="38" spans="1:3">
      <c r="A38" s="21">
        <v>0.53</v>
      </c>
      <c r="B38" s="12">
        <v>5.8999999999999999E-3</v>
      </c>
      <c r="C38" s="24">
        <v>3.1E-2</v>
      </c>
    </row>
    <row r="39" spans="1:3" ht="15.75" thickBot="1">
      <c r="A39" s="22">
        <v>0.55000000000000004</v>
      </c>
      <c r="B39" s="23">
        <v>1E-4</v>
      </c>
      <c r="C39" s="25">
        <v>2.8799999999999999E-2</v>
      </c>
    </row>
  </sheetData>
  <mergeCells count="3">
    <mergeCell ref="A8:C8"/>
    <mergeCell ref="A7:C7"/>
    <mergeCell ref="B1:M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4CA0D-9F2A-4CF6-A3B6-87E01635DEA6}">
  <dimension ref="A1:U94"/>
  <sheetViews>
    <sheetView topLeftCell="A9" workbookViewId="0">
      <selection activeCell="A30" sqref="A30:XFD35"/>
    </sheetView>
  </sheetViews>
  <sheetFormatPr defaultRowHeight="15"/>
  <cols>
    <col min="1" max="1" width="15.7109375" customWidth="1"/>
    <col min="2" max="2" width="11.5703125" bestFit="1" customWidth="1"/>
  </cols>
  <sheetData>
    <row r="1" spans="1:11" ht="96.75" customHeight="1">
      <c r="A1" s="77" t="s">
        <v>105</v>
      </c>
      <c r="B1" s="122" t="s">
        <v>136</v>
      </c>
      <c r="C1" s="122"/>
      <c r="D1" s="122"/>
      <c r="E1" s="122"/>
      <c r="F1" s="122"/>
      <c r="G1" s="122"/>
      <c r="H1" s="122"/>
      <c r="I1" s="122"/>
      <c r="J1" s="122"/>
      <c r="K1" s="122"/>
    </row>
    <row r="2" spans="1:11" ht="15" customHeight="1">
      <c r="A2" s="2"/>
    </row>
    <row r="3" spans="1:11" ht="15" customHeight="1">
      <c r="A3" s="2" t="s">
        <v>142</v>
      </c>
      <c r="B3">
        <f>Inputs!C9</f>
        <v>1.2</v>
      </c>
      <c r="C3" t="s">
        <v>1</v>
      </c>
    </row>
    <row r="4" spans="1:11" ht="15" customHeight="1">
      <c r="A4" s="2" t="s">
        <v>2</v>
      </c>
      <c r="B4" s="10">
        <f>Inputs!C15</f>
        <v>6.6419999999999995</v>
      </c>
      <c r="C4" t="s">
        <v>3</v>
      </c>
    </row>
    <row r="5" spans="1:11" ht="15" customHeight="1">
      <c r="A5" s="2" t="s">
        <v>144</v>
      </c>
      <c r="B5" t="str">
        <f>_xlfn.CONCAT("Power Draw at v = ",TEXT($B$3,"0.0")," m/s, ",TEXT($B$4,"0.0")," N thrust")</f>
        <v>Power Draw at v = 1.2 m/s, 6.6 N thrust</v>
      </c>
    </row>
    <row r="6" spans="1:11" ht="15" customHeight="1">
      <c r="A6" s="2" t="s">
        <v>145</v>
      </c>
      <c r="B6" t="str">
        <f>_xlfn.CONCAT("Motor Voltage at v = ",TEXT($B$3,"0.0")," m/s, ",TEXT($B$4,"0.0")," N thrust")</f>
        <v>Motor Voltage at v = 1.2 m/s, 6.6 N thrust</v>
      </c>
    </row>
    <row r="7" spans="1:11" ht="15" customHeight="1">
      <c r="A7" s="2"/>
    </row>
    <row r="8" spans="1:11" ht="15" customHeight="1">
      <c r="A8" s="2"/>
    </row>
    <row r="9" spans="1:11" ht="15" customHeight="1">
      <c r="A9" s="2"/>
    </row>
    <row r="10" spans="1:11" ht="15" customHeight="1">
      <c r="A10" s="2"/>
    </row>
    <row r="11" spans="1:11" ht="15" customHeight="1">
      <c r="A11" s="2"/>
    </row>
    <row r="12" spans="1:11" ht="15" customHeight="1">
      <c r="A12" s="2"/>
    </row>
    <row r="13" spans="1:11" ht="15" customHeight="1">
      <c r="A13" s="2"/>
    </row>
    <row r="14" spans="1:11" ht="15" customHeight="1">
      <c r="A14" s="2"/>
    </row>
    <row r="15" spans="1:11" ht="15" customHeight="1">
      <c r="A15" s="2"/>
    </row>
    <row r="16" spans="1:11" ht="15" customHeight="1">
      <c r="A16" s="2"/>
    </row>
    <row r="17" spans="1:1" ht="15" customHeight="1">
      <c r="A17" s="2"/>
    </row>
    <row r="18" spans="1:1" ht="15" customHeight="1">
      <c r="A18" s="2"/>
    </row>
    <row r="19" spans="1:1" ht="15" customHeight="1">
      <c r="A19" s="2"/>
    </row>
    <row r="20" spans="1:1" ht="15" customHeight="1">
      <c r="A20" s="2"/>
    </row>
    <row r="21" spans="1:1" ht="15" customHeight="1">
      <c r="A21" s="2"/>
    </row>
    <row r="22" spans="1:1" ht="15" customHeight="1">
      <c r="A22" s="2"/>
    </row>
    <row r="23" spans="1:1" ht="15" customHeight="1">
      <c r="A23" s="2"/>
    </row>
    <row r="24" spans="1:1" ht="15" customHeight="1">
      <c r="A24" s="2"/>
    </row>
    <row r="25" spans="1:1" ht="15" customHeight="1">
      <c r="A25" s="2"/>
    </row>
    <row r="26" spans="1:1" ht="15" customHeight="1">
      <c r="A26" s="2"/>
    </row>
    <row r="27" spans="1:1" ht="15" customHeight="1">
      <c r="A27" s="2"/>
    </row>
    <row r="28" spans="1:1" ht="15" customHeight="1">
      <c r="A28" s="2"/>
    </row>
    <row r="29" spans="1:1" ht="15" customHeight="1">
      <c r="A29" s="2"/>
    </row>
    <row r="30" spans="1:1" ht="15" customHeight="1">
      <c r="A30" s="2"/>
    </row>
    <row r="31" spans="1:1" ht="15" customHeight="1">
      <c r="A31" s="8" t="s">
        <v>143</v>
      </c>
    </row>
    <row r="32" spans="1:1" ht="15" customHeight="1" thickBot="1">
      <c r="A32" s="2"/>
    </row>
    <row r="33" spans="1:21" ht="60" customHeight="1">
      <c r="A33" s="107" t="str">
        <f>'Propeller Data'!A9</f>
        <v>J (advance ratio)</v>
      </c>
      <c r="B33" s="87" t="str">
        <f>'Propeller Data'!B9</f>
        <v>CT (thrust coefficient)</v>
      </c>
      <c r="C33" s="88" t="str">
        <f>'Propeller Data'!C9</f>
        <v>CP (power coefficient)</v>
      </c>
      <c r="D33" s="108" t="s">
        <v>40</v>
      </c>
      <c r="E33" s="106" t="s">
        <v>4</v>
      </c>
      <c r="F33" s="87" t="s">
        <v>45</v>
      </c>
      <c r="G33" s="87" t="s">
        <v>135</v>
      </c>
      <c r="H33" s="88" t="s">
        <v>42</v>
      </c>
      <c r="I33" s="107" t="s">
        <v>5</v>
      </c>
      <c r="J33" s="87" t="s">
        <v>45</v>
      </c>
      <c r="K33" s="87" t="s">
        <v>135</v>
      </c>
      <c r="L33" s="88" t="s">
        <v>42</v>
      </c>
      <c r="M33" s="107" t="s">
        <v>6</v>
      </c>
      <c r="N33" s="87" t="s">
        <v>45</v>
      </c>
      <c r="O33" s="87" t="s">
        <v>135</v>
      </c>
      <c r="P33" s="88" t="s">
        <v>42</v>
      </c>
      <c r="Q33" s="107" t="s">
        <v>7</v>
      </c>
      <c r="R33" s="87" t="s">
        <v>45</v>
      </c>
      <c r="S33" s="87" t="s">
        <v>135</v>
      </c>
      <c r="T33" s="88" t="s">
        <v>42</v>
      </c>
    </row>
    <row r="34" spans="1:21" ht="15" customHeight="1">
      <c r="A34" s="62">
        <f>'Propeller Data'!A10</f>
        <v>0</v>
      </c>
      <c r="B34" s="6">
        <f>'Propeller Data'!B10</f>
        <v>0.106</v>
      </c>
      <c r="C34" s="63">
        <f>'Propeller Data'!C10</f>
        <v>6.7199999999999996E-2</v>
      </c>
      <c r="D34" s="109">
        <f>'Propeller Data'!B10*'Propeller Data'!A10/('Propeller Data'!C10)</f>
        <v>0</v>
      </c>
      <c r="E34" s="13">
        <f>Inputs!$C$18</f>
        <v>0.127</v>
      </c>
      <c r="F34" s="7">
        <f>60*SQRT(H34/($B34*Inputs!$C$6*E34^4))</f>
        <v>1128.5711475743278</v>
      </c>
      <c r="G34" s="7">
        <f>Inputs!$C$6*(F34/60)^3*E34^5*$C34</f>
        <v>15.144147172733245</v>
      </c>
      <c r="H34" s="17">
        <f>Inputs!$C$10</f>
        <v>10</v>
      </c>
      <c r="I34" s="16">
        <f>Inputs!$C$19</f>
        <v>0.1651</v>
      </c>
      <c r="J34" s="7">
        <f>60*SQRT(L34/($B34*Inputs!$C$6*I34^4))</f>
        <v>667.79357844634796</v>
      </c>
      <c r="K34" s="7">
        <f>Inputs!$C$6*(J34/60)^3*I34^5*$C34</f>
        <v>11.649343979025575</v>
      </c>
      <c r="L34" s="17">
        <f>Inputs!$C$10</f>
        <v>10</v>
      </c>
      <c r="M34" s="16">
        <f>Inputs!$C$20</f>
        <v>0.20319999999999999</v>
      </c>
      <c r="N34" s="7">
        <f>60*SQRT(P34/($B34*Inputs!$C$6*M34^4))</f>
        <v>440.84810452122184</v>
      </c>
      <c r="O34" s="7">
        <f>Inputs!$C$6*(N34/60)^3*M34^5*$C34</f>
        <v>9.4650919829582794</v>
      </c>
      <c r="P34" s="17">
        <f>Inputs!$C$10</f>
        <v>10</v>
      </c>
      <c r="Q34" s="16">
        <f>Inputs!$C$21</f>
        <v>0.24129999999999999</v>
      </c>
      <c r="R34" s="7">
        <f>60*SQRT(T34/($B34*Inputs!$C$6*Q34^4))</f>
        <v>312.62358658568638</v>
      </c>
      <c r="S34" s="7">
        <f>Inputs!$C$6*(R34/60)^3*Q34^5*$C34</f>
        <v>7.9706037751227585</v>
      </c>
      <c r="T34" s="17">
        <f>Inputs!$C$10</f>
        <v>10</v>
      </c>
      <c r="U34" t="s">
        <v>133</v>
      </c>
    </row>
    <row r="35" spans="1:21" ht="15" customHeight="1">
      <c r="A35" s="62">
        <f>'Propeller Data'!A11</f>
        <v>0.02</v>
      </c>
      <c r="B35" s="6">
        <f>'Propeller Data'!B11</f>
        <v>0.1051</v>
      </c>
      <c r="C35" s="63">
        <f>'Propeller Data'!C11</f>
        <v>6.6299999999999998E-2</v>
      </c>
      <c r="D35" s="109">
        <f>'Propeller Data'!B11*'Propeller Data'!A11/('Propeller Data'!C11)</f>
        <v>3.1704374057315236E-2</v>
      </c>
      <c r="E35" s="13">
        <f>Inputs!$C$18</f>
        <v>0.127</v>
      </c>
      <c r="F35" s="7">
        <f>60*Inputs!$C$9/E35/$A35</f>
        <v>28346.456692913387</v>
      </c>
      <c r="G35" s="7">
        <f>Inputs!$C$6*(F35/60)^3*E35^5*$C35</f>
        <v>236754.68778000004</v>
      </c>
      <c r="H35" s="17">
        <f>Inputs!$C$6*(F35/60)^2*E35^4*'Propeller Data'!$B11</f>
        <v>6255.1326509999999</v>
      </c>
      <c r="I35" s="16">
        <f>Inputs!$C$19</f>
        <v>0.1651</v>
      </c>
      <c r="J35" s="7">
        <f>60*Inputs!$C$9/I35/$A35</f>
        <v>21804.966686856453</v>
      </c>
      <c r="K35" s="7">
        <f>Inputs!$C$6*(J35/60)^3*I35^5*$C35</f>
        <v>400115.42234820005</v>
      </c>
      <c r="L35" s="17">
        <f>Inputs!$C$6*(J35/60)^2*I35^4*'Propeller Data'!$B11</f>
        <v>10571.174180190001</v>
      </c>
      <c r="M35" s="16">
        <f>Inputs!$C$20</f>
        <v>0.20319999999999999</v>
      </c>
      <c r="N35" s="7">
        <f>60*Inputs!$C$9/M35/$A35</f>
        <v>17716.535433070869</v>
      </c>
      <c r="O35" s="7">
        <f>Inputs!$C$6*(N35/60)^3*M35^5*$C35</f>
        <v>606092.00071680034</v>
      </c>
      <c r="P35" s="17">
        <f>Inputs!$C$6*(N35/60)^2*M35^4*'Propeller Data'!$B11</f>
        <v>16013.139586560004</v>
      </c>
      <c r="Q35" s="16">
        <f>Inputs!$C$21</f>
        <v>0.24129999999999999</v>
      </c>
      <c r="R35" s="7">
        <f>60*Inputs!$C$9/Q35/$A35</f>
        <v>14919.187733112309</v>
      </c>
      <c r="S35" s="7">
        <f>Inputs!$C$6*(R35/60)^3*Q35^5*$C35</f>
        <v>854684.4228857999</v>
      </c>
      <c r="T35" s="17">
        <f>Inputs!$C$6*(R35/60)^2*Q35^4*'Propeller Data'!$B11</f>
        <v>22581.028870109996</v>
      </c>
    </row>
    <row r="36" spans="1:21" ht="15" customHeight="1">
      <c r="A36" s="62">
        <f>'Propeller Data'!A12</f>
        <v>0.04</v>
      </c>
      <c r="B36" s="6">
        <f>'Propeller Data'!B12</f>
        <v>0.1046</v>
      </c>
      <c r="C36" s="63">
        <f>'Propeller Data'!C12</f>
        <v>6.5600000000000006E-2</v>
      </c>
      <c r="D36" s="109">
        <f>'Propeller Data'!B12*'Propeller Data'!A12/('Propeller Data'!C12)</f>
        <v>6.378048780487805E-2</v>
      </c>
      <c r="E36" s="13">
        <f>Inputs!$C$18</f>
        <v>0.127</v>
      </c>
      <c r="F36" s="7">
        <f>60*Inputs!$C$9/E36/$A36</f>
        <v>14173.228346456694</v>
      </c>
      <c r="G36" s="7">
        <f>Inputs!$C$6*(F36/60)^3*E36^5*$C36</f>
        <v>29281.876920000006</v>
      </c>
      <c r="H36" s="17">
        <f>Inputs!$C$6*(F36/60)^2*E36^4*'Propeller Data'!$B12</f>
        <v>1556.3436615000001</v>
      </c>
      <c r="I36" s="16">
        <f>Inputs!$C$19</f>
        <v>0.1651</v>
      </c>
      <c r="J36" s="7">
        <f>60*Inputs!$C$9/I36/$A36</f>
        <v>10902.483343428226</v>
      </c>
      <c r="K36" s="7">
        <f>Inputs!$C$6*(J36/60)^3*I36^5*$C36</f>
        <v>49486.371994800014</v>
      </c>
      <c r="L36" s="17">
        <f>Inputs!$C$6*(J36/60)^2*I36^4*'Propeller Data'!$B12</f>
        <v>2630.2207879350003</v>
      </c>
      <c r="M36" s="16">
        <f>Inputs!$C$20</f>
        <v>0.20319999999999999</v>
      </c>
      <c r="N36" s="7">
        <f>60*Inputs!$C$9/M36/$A36</f>
        <v>8858.2677165354344</v>
      </c>
      <c r="O36" s="7">
        <f>Inputs!$C$6*(N36/60)^3*M36^5*$C36</f>
        <v>74961.604915200049</v>
      </c>
      <c r="P36" s="17">
        <f>Inputs!$C$6*(N36/60)^2*M36^4*'Propeller Data'!$B12</f>
        <v>3984.239773440001</v>
      </c>
      <c r="Q36" s="16">
        <f>Inputs!$C$21</f>
        <v>0.24129999999999999</v>
      </c>
      <c r="R36" s="7">
        <f>60*Inputs!$C$9/Q36/$A36</f>
        <v>7459.5938665561544</v>
      </c>
      <c r="S36" s="7">
        <f>Inputs!$C$6*(R36/60)^3*Q36^5*$C36</f>
        <v>105707.5756812</v>
      </c>
      <c r="T36" s="17">
        <f>Inputs!$C$6*(R36/60)^2*Q36^4*'Propeller Data'!$B12</f>
        <v>5618.4006180149991</v>
      </c>
    </row>
    <row r="37" spans="1:21" ht="15" customHeight="1">
      <c r="A37" s="62">
        <f>'Propeller Data'!A13</f>
        <v>0.06</v>
      </c>
      <c r="B37" s="6">
        <f>'Propeller Data'!B13</f>
        <v>0.1032</v>
      </c>
      <c r="C37" s="63">
        <f>'Propeller Data'!C13</f>
        <v>6.4699999999999994E-2</v>
      </c>
      <c r="D37" s="109">
        <f>'Propeller Data'!B13*'Propeller Data'!A13/('Propeller Data'!C13)</f>
        <v>9.57032457496136E-2</v>
      </c>
      <c r="E37" s="13">
        <f>Inputs!$C$18</f>
        <v>0.127</v>
      </c>
      <c r="F37" s="7">
        <f>60*Inputs!$C$9/E37/$A37</f>
        <v>9448.8188976377951</v>
      </c>
      <c r="G37" s="7">
        <f>Inputs!$C$6*(F37/60)^3*E37^5*$C37</f>
        <v>8557.0796599999994</v>
      </c>
      <c r="H37" s="17">
        <f>Inputs!$C$6*(F37/60)^2*E37^4*'Propeller Data'!$B13</f>
        <v>682.45024799999999</v>
      </c>
      <c r="I37" s="16">
        <f>Inputs!$C$19</f>
        <v>0.1651</v>
      </c>
      <c r="J37" s="7">
        <f>60*Inputs!$C$9/I37/$A37</f>
        <v>7268.3222289521509</v>
      </c>
      <c r="K37" s="7">
        <f>Inputs!$C$6*(J37/60)^3*I37^5*$C37</f>
        <v>14461.464625400002</v>
      </c>
      <c r="L37" s="17">
        <f>Inputs!$C$6*(J37/60)^2*I37^4*'Propeller Data'!$B13</f>
        <v>1153.3409191200001</v>
      </c>
      <c r="M37" s="16">
        <f>Inputs!$C$20</f>
        <v>0.20319999999999999</v>
      </c>
      <c r="N37" s="7">
        <f>60*Inputs!$C$9/M37/$A37</f>
        <v>5905.5118110236226</v>
      </c>
      <c r="O37" s="7">
        <f>Inputs!$C$6*(N37/60)^3*M37^5*$C37</f>
        <v>21906.123929599999</v>
      </c>
      <c r="P37" s="17">
        <f>Inputs!$C$6*(N37/60)^2*M37^4*'Propeller Data'!$B13</f>
        <v>1747.0726348800001</v>
      </c>
      <c r="Q37" s="16">
        <f>Inputs!$C$21</f>
        <v>0.24129999999999999</v>
      </c>
      <c r="R37" s="7">
        <f>60*Inputs!$C$9/Q37/$A37</f>
        <v>4973.0625777041032</v>
      </c>
      <c r="S37" s="7">
        <f>Inputs!$C$6*(R37/60)^3*Q37^5*$C37</f>
        <v>30891.05757260001</v>
      </c>
      <c r="T37" s="17">
        <f>Inputs!$C$6*(R37/60)^2*Q37^4*'Propeller Data'!$B13</f>
        <v>2463.6453952800007</v>
      </c>
    </row>
    <row r="38" spans="1:21" ht="15" customHeight="1">
      <c r="A38" s="62">
        <f>'Propeller Data'!A14</f>
        <v>0.08</v>
      </c>
      <c r="B38" s="6">
        <f>'Propeller Data'!B14</f>
        <v>0.10150000000000001</v>
      </c>
      <c r="C38" s="63">
        <f>'Propeller Data'!C14</f>
        <v>6.3799999999999996E-2</v>
      </c>
      <c r="D38" s="109">
        <f>'Propeller Data'!B14*'Propeller Data'!A14/('Propeller Data'!C14)</f>
        <v>0.12727272727272729</v>
      </c>
      <c r="E38" s="13">
        <f>Inputs!$C$18</f>
        <v>0.127</v>
      </c>
      <c r="F38" s="7">
        <f>60*Inputs!$C$9/E38/$A38</f>
        <v>7086.6141732283468</v>
      </c>
      <c r="G38" s="7">
        <f>Inputs!$C$6*(F38/60)^3*E38^5*$C38</f>
        <v>3559.8013481250005</v>
      </c>
      <c r="H38" s="17">
        <f>Inputs!$C$6*(F38/60)^2*E38^4*'Propeller Data'!$B14</f>
        <v>377.55468843750003</v>
      </c>
      <c r="I38" s="16">
        <f>Inputs!$C$19</f>
        <v>0.1651</v>
      </c>
      <c r="J38" s="7">
        <f>60*Inputs!$C$9/I38/$A38</f>
        <v>5451.2416717141132</v>
      </c>
      <c r="K38" s="7">
        <f>Inputs!$C$6*(J38/60)^3*I38^5*$C38</f>
        <v>6016.0642783312505</v>
      </c>
      <c r="L38" s="17">
        <f>Inputs!$C$6*(J38/60)^2*I38^4*'Propeller Data'!$B14</f>
        <v>638.06742345937516</v>
      </c>
      <c r="M38" s="16">
        <f>Inputs!$C$20</f>
        <v>0.20319999999999999</v>
      </c>
      <c r="N38" s="7">
        <f>60*Inputs!$C$9/M38/$A38</f>
        <v>4429.1338582677172</v>
      </c>
      <c r="O38" s="7">
        <f>Inputs!$C$6*(N38/60)^3*M38^5*$C38</f>
        <v>9113.0914512000054</v>
      </c>
      <c r="P38" s="17">
        <f>Inputs!$C$6*(N38/60)^2*M38^4*'Propeller Data'!$B14</f>
        <v>966.54000240000039</v>
      </c>
      <c r="Q38" s="16">
        <f>Inputs!$C$21</f>
        <v>0.24129999999999999</v>
      </c>
      <c r="R38" s="7">
        <f>60*Inputs!$C$9/Q38/$A38</f>
        <v>3729.7969332780772</v>
      </c>
      <c r="S38" s="7">
        <f>Inputs!$C$6*(R38/60)^3*Q38^5*$C38</f>
        <v>12850.882866731248</v>
      </c>
      <c r="T38" s="17">
        <f>Inputs!$C$6*(R38/60)^2*Q38^4*'Propeller Data'!$B14</f>
        <v>1362.9724252593749</v>
      </c>
    </row>
    <row r="39" spans="1:21" ht="15" customHeight="1">
      <c r="A39" s="62">
        <f>'Propeller Data'!A15</f>
        <v>0.09</v>
      </c>
      <c r="B39" s="6">
        <f>'Propeller Data'!B15</f>
        <v>9.9500000000000005E-2</v>
      </c>
      <c r="C39" s="63">
        <f>'Propeller Data'!C15</f>
        <v>6.3100000000000003E-2</v>
      </c>
      <c r="D39" s="109">
        <f>'Propeller Data'!B15*'Propeller Data'!A15/('Propeller Data'!C15)</f>
        <v>0.14191759112519808</v>
      </c>
      <c r="E39" s="13">
        <f>Inputs!$C$18</f>
        <v>0.127</v>
      </c>
      <c r="F39" s="7">
        <f>60*Inputs!$C$9/E39/$A39</f>
        <v>6299.212598425197</v>
      </c>
      <c r="G39" s="7">
        <f>Inputs!$C$6*(F39/60)^3*E39^5*$C39</f>
        <v>2472.7310162962967</v>
      </c>
      <c r="H39" s="17">
        <f>Inputs!$C$6*(F39/60)^2*E39^4*'Propeller Data'!$B15</f>
        <v>292.4366911111112</v>
      </c>
      <c r="I39" s="16">
        <f>Inputs!$C$19</f>
        <v>0.1651</v>
      </c>
      <c r="J39" s="7">
        <f>60*Inputs!$C$9/I39/$A39</f>
        <v>4845.5481526347676</v>
      </c>
      <c r="K39" s="7">
        <f>Inputs!$C$6*(J39/60)^3*I39^5*$C39</f>
        <v>4178.915417540743</v>
      </c>
      <c r="L39" s="17">
        <f>Inputs!$C$6*(J39/60)^2*I39^4*'Propeller Data'!$B15</f>
        <v>494.2180079777778</v>
      </c>
      <c r="M39" s="16">
        <f>Inputs!$C$20</f>
        <v>0.20319999999999999</v>
      </c>
      <c r="N39" s="7">
        <f>60*Inputs!$C$9/M39/$A39</f>
        <v>3937.0078740157487</v>
      </c>
      <c r="O39" s="7">
        <f>Inputs!$C$6*(N39/60)^3*M39^5*$C39</f>
        <v>6330.1914017185227</v>
      </c>
      <c r="P39" s="17">
        <f>Inputs!$C$6*(N39/60)^2*M39^4*'Propeller Data'!$B15</f>
        <v>748.63792924444476</v>
      </c>
      <c r="Q39" s="16">
        <f>Inputs!$C$21</f>
        <v>0.24129999999999999</v>
      </c>
      <c r="R39" s="7">
        <f>60*Inputs!$C$9/Q39/$A39</f>
        <v>3315.3750518027355</v>
      </c>
      <c r="S39" s="7">
        <f>Inputs!$C$6*(R39/60)^3*Q39^5*$C39</f>
        <v>8926.5589688296313</v>
      </c>
      <c r="T39" s="17">
        <f>Inputs!$C$6*(R39/60)^2*Q39^4*'Propeller Data'!$B15</f>
        <v>1055.6964549111112</v>
      </c>
    </row>
    <row r="40" spans="1:21" ht="15" customHeight="1">
      <c r="A40" s="62">
        <f>'Propeller Data'!A16</f>
        <v>0.11</v>
      </c>
      <c r="B40" s="6">
        <f>'Propeller Data'!B16</f>
        <v>9.7299999999999998E-2</v>
      </c>
      <c r="C40" s="63">
        <f>'Propeller Data'!C16</f>
        <v>6.2600000000000003E-2</v>
      </c>
      <c r="D40" s="109">
        <f>'Propeller Data'!B16*'Propeller Data'!A16/('Propeller Data'!C16)</f>
        <v>0.17097444089456867</v>
      </c>
      <c r="E40" s="13">
        <f>Inputs!$C$18</f>
        <v>0.127</v>
      </c>
      <c r="F40" s="7">
        <f>60*Inputs!$C$9/E40/$A40</f>
        <v>5153.9012168933432</v>
      </c>
      <c r="G40" s="7">
        <f>Inputs!$C$6*(F40/60)^3*E40^5*$C40</f>
        <v>1343.6041085499626</v>
      </c>
      <c r="H40" s="17">
        <f>Inputs!$C$6*(F40/60)^2*E40^4*'Propeller Data'!$B16</f>
        <v>191.43496770247933</v>
      </c>
      <c r="I40" s="16">
        <f>Inputs!$C$19</f>
        <v>0.1651</v>
      </c>
      <c r="J40" s="7">
        <f>60*Inputs!$C$9/I40/$A40</f>
        <v>3964.5393976102637</v>
      </c>
      <c r="K40" s="7">
        <f>Inputs!$C$6*(J40/60)^3*I40^5*$C40</f>
        <v>2270.690943449436</v>
      </c>
      <c r="L40" s="17">
        <f>Inputs!$C$6*(J40/60)^2*I40^4*'Propeller Data'!$B16</f>
        <v>323.52509541719002</v>
      </c>
      <c r="M40" s="16">
        <f>Inputs!$C$20</f>
        <v>0.20319999999999999</v>
      </c>
      <c r="N40" s="7">
        <f>60*Inputs!$C$9/M40/$A40</f>
        <v>3221.1882605583396</v>
      </c>
      <c r="O40" s="7">
        <f>Inputs!$C$6*(N40/60)^3*M40^5*$C40</f>
        <v>3439.6265178879048</v>
      </c>
      <c r="P40" s="17">
        <f>Inputs!$C$6*(N40/60)^2*M40^4*'Propeller Data'!$B16</f>
        <v>490.07351731834717</v>
      </c>
      <c r="Q40" s="16">
        <f>Inputs!$C$21</f>
        <v>0.24129999999999999</v>
      </c>
      <c r="R40" s="7">
        <f>60*Inputs!$C$9/Q40/$A40</f>
        <v>2712.5795878386016</v>
      </c>
      <c r="S40" s="7">
        <f>Inputs!$C$6*(R40/60)^3*Q40^5*$C40</f>
        <v>4850.4108318653634</v>
      </c>
      <c r="T40" s="17">
        <f>Inputs!$C$6*(R40/60)^2*Q40^4*'Propeller Data'!$B16</f>
        <v>691.08023340595025</v>
      </c>
    </row>
    <row r="41" spans="1:21" ht="15" customHeight="1">
      <c r="A41" s="62">
        <f>'Propeller Data'!A17</f>
        <v>0.13</v>
      </c>
      <c r="B41" s="6">
        <f>'Propeller Data'!B17</f>
        <v>9.4899999999999998E-2</v>
      </c>
      <c r="C41" s="63">
        <f>'Propeller Data'!C17</f>
        <v>6.2E-2</v>
      </c>
      <c r="D41" s="109">
        <f>'Propeller Data'!B17*'Propeller Data'!A17/('Propeller Data'!C17)</f>
        <v>0.19898387096774195</v>
      </c>
      <c r="E41" s="13">
        <f>Inputs!$C$18</f>
        <v>0.127</v>
      </c>
      <c r="F41" s="7">
        <f>60*Inputs!$C$9/E41/$A41</f>
        <v>4360.9933373712902</v>
      </c>
      <c r="G41" s="7">
        <f>Inputs!$C$6*(F41/60)^3*E41^5*$C41</f>
        <v>806.18864706417889</v>
      </c>
      <c r="H41" s="17">
        <f>Inputs!$C$6*(F41/60)^2*E41^4*'Propeller Data'!$B17</f>
        <v>133.68211476923082</v>
      </c>
      <c r="I41" s="16">
        <f>Inputs!$C$19</f>
        <v>0.1651</v>
      </c>
      <c r="J41" s="7">
        <f>60*Inputs!$C$9/I41/$A41</f>
        <v>3354.610259516377</v>
      </c>
      <c r="K41" s="7">
        <f>Inputs!$C$6*(J41/60)^3*I41^5*$C41</f>
        <v>1362.4588135384613</v>
      </c>
      <c r="L41" s="17">
        <f>Inputs!$C$6*(J41/60)^2*I41^4*'Propeller Data'!$B17</f>
        <v>225.92277395999994</v>
      </c>
      <c r="M41" s="16">
        <f>Inputs!$C$20</f>
        <v>0.20319999999999999</v>
      </c>
      <c r="N41" s="7">
        <f>60*Inputs!$C$9/M41/$A41</f>
        <v>2725.6208358570566</v>
      </c>
      <c r="O41" s="7">
        <f>Inputs!$C$6*(N41/60)^3*M41^5*$C41</f>
        <v>2063.8429364842968</v>
      </c>
      <c r="P41" s="17">
        <f>Inputs!$C$6*(N41/60)^2*M41^4*'Propeller Data'!$B17</f>
        <v>342.22621380923079</v>
      </c>
      <c r="Q41" s="16">
        <f>Inputs!$C$21</f>
        <v>0.24129999999999999</v>
      </c>
      <c r="R41" s="7">
        <f>60*Inputs!$C$9/Q41/$A41</f>
        <v>2295.2596512480477</v>
      </c>
      <c r="S41" s="7">
        <f>Inputs!$C$6*(R41/60)^3*Q41^5*$C41</f>
        <v>2910.3410159016844</v>
      </c>
      <c r="T41" s="17">
        <f>Inputs!$C$6*(R41/60)^2*Q41^4*'Propeller Data'!$B17</f>
        <v>482.59243431692312</v>
      </c>
    </row>
    <row r="42" spans="1:21" ht="15" customHeight="1">
      <c r="A42" s="62">
        <f>'Propeller Data'!A18</f>
        <v>0.15</v>
      </c>
      <c r="B42" s="6">
        <f>'Propeller Data'!B18</f>
        <v>9.2399999999999996E-2</v>
      </c>
      <c r="C42" s="63">
        <f>'Propeller Data'!C18</f>
        <v>6.1400000000000003E-2</v>
      </c>
      <c r="D42" s="109">
        <f>'Propeller Data'!B18*'Propeller Data'!A18/('Propeller Data'!C18)</f>
        <v>0.22573289902280128</v>
      </c>
      <c r="E42" s="13">
        <f>Inputs!$C$18</f>
        <v>0.127</v>
      </c>
      <c r="F42" s="7">
        <f>60*Inputs!$C$9/E42/$A42</f>
        <v>3779.5275590551182</v>
      </c>
      <c r="G42" s="7">
        <f>Inputs!$C$6*(F42/60)^3*E42^5*$C42</f>
        <v>519.72025088000009</v>
      </c>
      <c r="H42" s="17">
        <f>Inputs!$C$6*(F42/60)^2*E42^4*'Propeller Data'!$B18</f>
        <v>97.764965759999995</v>
      </c>
      <c r="I42" s="16">
        <f>Inputs!$C$19</f>
        <v>0.1651</v>
      </c>
      <c r="J42" s="7">
        <f>60*Inputs!$C$9/I42/$A42</f>
        <v>2907.3288915808603</v>
      </c>
      <c r="K42" s="7">
        <f>Inputs!$C$6*(J42/60)^3*I42^5*$C42</f>
        <v>878.3272239872</v>
      </c>
      <c r="L42" s="17">
        <f>Inputs!$C$6*(J42/60)^2*I42^4*'Propeller Data'!$B18</f>
        <v>165.22279213439998</v>
      </c>
      <c r="M42" s="16">
        <f>Inputs!$C$20</f>
        <v>0.20319999999999999</v>
      </c>
      <c r="N42" s="7">
        <f>60*Inputs!$C$9/M42/$A42</f>
        <v>2362.2047244094492</v>
      </c>
      <c r="O42" s="7">
        <f>Inputs!$C$6*(N42/60)^3*M42^5*$C42</f>
        <v>1330.4838422528007</v>
      </c>
      <c r="P42" s="17">
        <f>Inputs!$C$6*(N42/60)^2*M42^4*'Propeller Data'!$B18</f>
        <v>250.27831234560003</v>
      </c>
      <c r="Q42" s="16">
        <f>Inputs!$C$21</f>
        <v>0.24129999999999999</v>
      </c>
      <c r="R42" s="7">
        <f>60*Inputs!$C$9/Q42/$A42</f>
        <v>1989.2250310816414</v>
      </c>
      <c r="S42" s="7">
        <f>Inputs!$C$6*(R42/60)^3*Q42^5*$C42</f>
        <v>1876.1901056768008</v>
      </c>
      <c r="T42" s="17">
        <f>Inputs!$C$6*(R42/60)^2*Q42^4*'Propeller Data'!$B18</f>
        <v>352.93152639360011</v>
      </c>
    </row>
    <row r="43" spans="1:21" ht="15" customHeight="1">
      <c r="A43" s="62">
        <f>'Propeller Data'!A19</f>
        <v>0.17</v>
      </c>
      <c r="B43" s="6">
        <f>'Propeller Data'!B19</f>
        <v>8.9800000000000005E-2</v>
      </c>
      <c r="C43" s="63">
        <f>'Propeller Data'!C19</f>
        <v>6.08E-2</v>
      </c>
      <c r="D43" s="109">
        <f>'Propeller Data'!B19*'Propeller Data'!A19/('Propeller Data'!C19)</f>
        <v>0.25108552631578951</v>
      </c>
      <c r="E43" s="13">
        <f>Inputs!$C$18</f>
        <v>0.127</v>
      </c>
      <c r="F43" s="7">
        <f>60*Inputs!$C$9/E43/$A43</f>
        <v>3334.87725798981</v>
      </c>
      <c r="G43" s="7">
        <f>Inputs!$C$6*(F43/60)^3*E43^5*$C43</f>
        <v>353.53454830856901</v>
      </c>
      <c r="H43" s="17">
        <f>Inputs!$C$6*(F43/60)^2*E43^4*'Propeller Data'!$B19</f>
        <v>73.972840110726651</v>
      </c>
      <c r="I43" s="16">
        <f>Inputs!$C$19</f>
        <v>0.1651</v>
      </c>
      <c r="J43" s="7">
        <f>60*Inputs!$C$9/I43/$A43</f>
        <v>2565.2901984537002</v>
      </c>
      <c r="K43" s="7">
        <f>Inputs!$C$6*(J43/60)^3*I43^5*$C43</f>
        <v>597.47338664148174</v>
      </c>
      <c r="L43" s="17">
        <f>Inputs!$C$6*(J43/60)^2*I43^4*'Propeller Data'!$B19</f>
        <v>125.014099787128</v>
      </c>
      <c r="M43" s="16">
        <f>Inputs!$C$20</f>
        <v>0.20319999999999999</v>
      </c>
      <c r="N43" s="7">
        <f>60*Inputs!$C$9/M43/$A43</f>
        <v>2084.2982862436315</v>
      </c>
      <c r="O43" s="7">
        <f>Inputs!$C$6*(N43/60)^3*M43^5*$C43</f>
        <v>905.04844366993711</v>
      </c>
      <c r="P43" s="17">
        <f>Inputs!$C$6*(N43/60)^2*M43^4*'Propeller Data'!$B19</f>
        <v>189.37047068346021</v>
      </c>
      <c r="Q43" s="16">
        <f>Inputs!$C$21</f>
        <v>0.24129999999999999</v>
      </c>
      <c r="R43" s="7">
        <f>60*Inputs!$C$9/Q43/$A43</f>
        <v>1755.1985568367422</v>
      </c>
      <c r="S43" s="7">
        <f>Inputs!$C$6*(R43/60)^3*Q43^5*$C43</f>
        <v>1276.2597193939346</v>
      </c>
      <c r="T43" s="17">
        <f>Inputs!$C$6*(R43/60)^2*Q43^4*'Propeller Data'!$B19</f>
        <v>267.04195279972322</v>
      </c>
    </row>
    <row r="44" spans="1:21" ht="15" customHeight="1">
      <c r="A44" s="62">
        <f>'Propeller Data'!A20</f>
        <v>0.19</v>
      </c>
      <c r="B44" s="6">
        <f>'Propeller Data'!B20</f>
        <v>8.7099999999999997E-2</v>
      </c>
      <c r="C44" s="63">
        <f>'Propeller Data'!C20</f>
        <v>6.0100000000000001E-2</v>
      </c>
      <c r="D44" s="109">
        <f>'Propeller Data'!B20*'Propeller Data'!A20/('Propeller Data'!C20)</f>
        <v>0.27535773710482531</v>
      </c>
      <c r="E44" s="13">
        <f>Inputs!$C$18</f>
        <v>0.127</v>
      </c>
      <c r="F44" s="7">
        <f>60*Inputs!$C$9/E44/$A44</f>
        <v>2983.8375466224616</v>
      </c>
      <c r="G44" s="7">
        <f>Inputs!$C$6*(F44/60)^3*E44^5*$C44</f>
        <v>250.31606013704624</v>
      </c>
      <c r="H44" s="17">
        <f>Inputs!$C$6*(F44/60)^2*E44^4*'Propeller Data'!$B20</f>
        <v>57.438719900277007</v>
      </c>
      <c r="I44" s="16">
        <f>Inputs!$C$19</f>
        <v>0.1651</v>
      </c>
      <c r="J44" s="7">
        <f>60*Inputs!$C$9/I44/$A44</f>
        <v>2295.2596512480477</v>
      </c>
      <c r="K44" s="7">
        <f>Inputs!$C$6*(J44/60)^3*I44^5*$C44</f>
        <v>423.03414163160824</v>
      </c>
      <c r="L44" s="17">
        <f>Inputs!$C$6*(J44/60)^2*I44^4*'Propeller Data'!$B20</f>
        <v>97.07143663146816</v>
      </c>
      <c r="M44" s="16">
        <f>Inputs!$C$20</f>
        <v>0.20319999999999999</v>
      </c>
      <c r="N44" s="7">
        <f>60*Inputs!$C$9/M44/$A44</f>
        <v>1864.8984666390388</v>
      </c>
      <c r="O44" s="7">
        <f>Inputs!$C$6*(N44/60)^3*M44^5*$C44</f>
        <v>640.80911395083854</v>
      </c>
      <c r="P44" s="17">
        <f>Inputs!$C$6*(N44/60)^2*M44^4*'Propeller Data'!$B20</f>
        <v>147.04312294470915</v>
      </c>
      <c r="Q44" s="16">
        <f>Inputs!$C$21</f>
        <v>0.24129999999999999</v>
      </c>
      <c r="R44" s="7">
        <f>60*Inputs!$C$9/Q44/$A44</f>
        <v>1570.4408140118221</v>
      </c>
      <c r="S44" s="7">
        <f>Inputs!$C$6*(R44/60)^3*Q44^5*$C44</f>
        <v>903.6409770947372</v>
      </c>
      <c r="T44" s="17">
        <f>Inputs!$C$6*(R44/60)^2*Q44^4*'Propeller Data'!$B20</f>
        <v>207.35377884000005</v>
      </c>
    </row>
    <row r="45" spans="1:21" ht="15" customHeight="1">
      <c r="A45" s="62">
        <f>'Propeller Data'!A21</f>
        <v>0.21</v>
      </c>
      <c r="B45" s="6">
        <f>'Propeller Data'!B21</f>
        <v>8.4000000000000005E-2</v>
      </c>
      <c r="C45" s="63">
        <f>'Propeller Data'!C21</f>
        <v>5.8900000000000001E-2</v>
      </c>
      <c r="D45" s="109">
        <f>'Propeller Data'!B21*'Propeller Data'!A21/('Propeller Data'!C21)</f>
        <v>0.29949066213921899</v>
      </c>
      <c r="E45" s="13">
        <f>Inputs!$C$18</f>
        <v>0.127</v>
      </c>
      <c r="F45" s="7">
        <f>60*Inputs!$C$9/E45/$A45</f>
        <v>2699.6625421822273</v>
      </c>
      <c r="G45" s="7">
        <f>Inputs!$C$6*(F45/60)^3*E45^5*$C45</f>
        <v>181.69059871720123</v>
      </c>
      <c r="H45" s="17">
        <f>Inputs!$C$6*(F45/60)^2*E45^4*'Propeller Data'!$B21</f>
        <v>45.345531428571441</v>
      </c>
      <c r="I45" s="16">
        <f>Inputs!$C$19</f>
        <v>0.1651</v>
      </c>
      <c r="J45" s="7">
        <f>60*Inputs!$C$9/I45/$A45</f>
        <v>2076.6634939863288</v>
      </c>
      <c r="K45" s="7">
        <f>Inputs!$C$6*(J45/60)^3*I45^5*$C45</f>
        <v>307.05711183207012</v>
      </c>
      <c r="L45" s="17">
        <f>Inputs!$C$6*(J45/60)^2*I45^4*'Propeller Data'!$B21</f>
        <v>76.63394811428573</v>
      </c>
      <c r="M45" s="16">
        <f>Inputs!$C$20</f>
        <v>0.20319999999999999</v>
      </c>
      <c r="N45" s="7">
        <f>60*Inputs!$C$9/M45/$A45</f>
        <v>1687.2890888638922</v>
      </c>
      <c r="O45" s="7">
        <f>Inputs!$C$6*(N45/60)^3*M45^5*$C45</f>
        <v>465.12793271603516</v>
      </c>
      <c r="P45" s="17">
        <f>Inputs!$C$6*(N45/60)^2*M45^4*'Propeller Data'!$B21</f>
        <v>116.0845604571429</v>
      </c>
      <c r="Q45" s="16">
        <f>Inputs!$C$21</f>
        <v>0.24129999999999999</v>
      </c>
      <c r="R45" s="7">
        <f>60*Inputs!$C$9/Q45/$A45</f>
        <v>1420.8750222011724</v>
      </c>
      <c r="S45" s="7">
        <f>Inputs!$C$6*(R45/60)^3*Q45^5*$C45</f>
        <v>655.90306136909635</v>
      </c>
      <c r="T45" s="17">
        <f>Inputs!$C$6*(R45/60)^2*Q45^4*'Propeller Data'!$B21</f>
        <v>163.69736845714291</v>
      </c>
    </row>
    <row r="46" spans="1:21" ht="15" customHeight="1">
      <c r="A46" s="62">
        <f>'Propeller Data'!A22</f>
        <v>0.23</v>
      </c>
      <c r="B46" s="6">
        <f>'Propeller Data'!B22</f>
        <v>8.0299999999999996E-2</v>
      </c>
      <c r="C46" s="63">
        <f>'Propeller Data'!C22</f>
        <v>5.7599999999999998E-2</v>
      </c>
      <c r="D46" s="109">
        <f>'Propeller Data'!B22*'Propeller Data'!A22/('Propeller Data'!C22)</f>
        <v>0.32064236111111111</v>
      </c>
      <c r="E46" s="13">
        <f>Inputs!$C$18</f>
        <v>0.127</v>
      </c>
      <c r="F46" s="7">
        <f>60*Inputs!$C$9/E46/$A46</f>
        <v>2464.9092776446423</v>
      </c>
      <c r="G46" s="7">
        <f>Inputs!$C$6*(F46/60)^3*E46^5*$C46</f>
        <v>135.24275864880414</v>
      </c>
      <c r="H46" s="17">
        <f>Inputs!$C$6*(F46/60)^2*E46^4*'Propeller Data'!$B22</f>
        <v>36.137131213610587</v>
      </c>
      <c r="I46" s="16">
        <f>Inputs!$C$19</f>
        <v>0.1651</v>
      </c>
      <c r="J46" s="7">
        <f>60*Inputs!$C$9/I46/$A46</f>
        <v>1896.0840597266479</v>
      </c>
      <c r="K46" s="7">
        <f>Inputs!$C$6*(J46/60)^3*I46^5*$C46</f>
        <v>228.56026211647898</v>
      </c>
      <c r="L46" s="17">
        <f>Inputs!$C$6*(J46/60)^2*I46^4*'Propeller Data'!$B22</f>
        <v>61.071751751001884</v>
      </c>
      <c r="M46" s="16">
        <f>Inputs!$C$20</f>
        <v>0.20319999999999999</v>
      </c>
      <c r="N46" s="7">
        <f>60*Inputs!$C$9/M46/$A46</f>
        <v>1540.5682985279016</v>
      </c>
      <c r="O46" s="7">
        <f>Inputs!$C$6*(N46/60)^3*M46^5*$C46</f>
        <v>346.22146214093874</v>
      </c>
      <c r="P46" s="17">
        <f>Inputs!$C$6*(N46/60)^2*M46^4*'Propeller Data'!$B22</f>
        <v>92.511055906843126</v>
      </c>
      <c r="Q46" s="16">
        <f>Inputs!$C$21</f>
        <v>0.24129999999999999</v>
      </c>
      <c r="R46" s="7">
        <f>60*Inputs!$C$9/Q46/$A46</f>
        <v>1297.3206724445486</v>
      </c>
      <c r="S46" s="7">
        <f>Inputs!$C$6*(R46/60)^3*Q46^5*$C46</f>
        <v>488.22635872218268</v>
      </c>
      <c r="T46" s="17">
        <f>Inputs!$C$6*(R46/60)^2*Q46^4*'Propeller Data'!$B22</f>
        <v>130.45504368113416</v>
      </c>
    </row>
    <row r="47" spans="1:21" ht="15" customHeight="1">
      <c r="A47" s="62">
        <f>'Propeller Data'!A23</f>
        <v>0.25</v>
      </c>
      <c r="B47" s="6">
        <f>'Propeller Data'!B23</f>
        <v>7.6399999999999996E-2</v>
      </c>
      <c r="C47" s="63">
        <f>'Propeller Data'!C23</f>
        <v>5.62E-2</v>
      </c>
      <c r="D47" s="109">
        <f>'Propeller Data'!B23*'Propeller Data'!A23/('Propeller Data'!C23)</f>
        <v>0.33985765124555156</v>
      </c>
      <c r="E47" s="13">
        <f>Inputs!$C$18</f>
        <v>0.127</v>
      </c>
      <c r="F47" s="7">
        <f>60*Inputs!$C$9/E47/$A47</f>
        <v>2267.7165354330709</v>
      </c>
      <c r="G47" s="7">
        <f>Inputs!$C$6*(F47/60)^3*E47^5*$C47</f>
        <v>102.75224868864005</v>
      </c>
      <c r="H47" s="17">
        <f>Inputs!$C$6*(F47/60)^2*E47^4*'Propeller Data'!$B23</f>
        <v>29.100948249600002</v>
      </c>
      <c r="I47" s="16">
        <f>Inputs!$C$19</f>
        <v>0.1651</v>
      </c>
      <c r="J47" s="7">
        <f>60*Inputs!$C$9/I47/$A47</f>
        <v>1744.3973349485161</v>
      </c>
      <c r="K47" s="7">
        <f>Inputs!$C$6*(J47/60)^3*I47^5*$C47</f>
        <v>173.65130028380159</v>
      </c>
      <c r="L47" s="17">
        <f>Inputs!$C$6*(J47/60)^2*I47^4*'Propeller Data'!$B23</f>
        <v>49.180602541823987</v>
      </c>
      <c r="M47" s="16">
        <f>Inputs!$C$20</f>
        <v>0.20319999999999999</v>
      </c>
      <c r="N47" s="7">
        <f>60*Inputs!$C$9/M47/$A47</f>
        <v>1417.3228346456694</v>
      </c>
      <c r="O47" s="7">
        <f>Inputs!$C$6*(N47/60)^3*M47^5*$C47</f>
        <v>263.04575664291849</v>
      </c>
      <c r="P47" s="17">
        <f>Inputs!$C$6*(N47/60)^2*M47^4*'Propeller Data'!$B23</f>
        <v>74.498427518976001</v>
      </c>
      <c r="Q47" s="16">
        <f>Inputs!$C$21</f>
        <v>0.24129999999999999</v>
      </c>
      <c r="R47" s="7">
        <f>60*Inputs!$C$9/Q47/$A47</f>
        <v>1193.5350186489848</v>
      </c>
      <c r="S47" s="7">
        <f>Inputs!$C$6*(R47/60)^3*Q47^5*$C47</f>
        <v>370.93561776599029</v>
      </c>
      <c r="T47" s="17">
        <f>Inputs!$C$6*(R47/60)^2*Q47^4*'Propeller Data'!$B23</f>
        <v>105.05442318105599</v>
      </c>
    </row>
    <row r="48" spans="1:21" ht="15" customHeight="1">
      <c r="A48" s="62">
        <f>'Propeller Data'!A24</f>
        <v>0.26</v>
      </c>
      <c r="B48" s="6">
        <f>'Propeller Data'!B24</f>
        <v>7.2400000000000006E-2</v>
      </c>
      <c r="C48" s="63">
        <f>'Propeller Data'!C24</f>
        <v>5.4699999999999999E-2</v>
      </c>
      <c r="D48" s="109">
        <f>'Propeller Data'!B24*'Propeller Data'!A24/('Propeller Data'!C24)</f>
        <v>0.34413162705667283</v>
      </c>
      <c r="E48" s="13">
        <f>Inputs!$C$18</f>
        <v>0.127</v>
      </c>
      <c r="F48" s="7">
        <f>60*Inputs!$C$9/E48/$A48</f>
        <v>2180.4966686856451</v>
      </c>
      <c r="G48" s="7">
        <f>Inputs!$C$6*(F48/60)^3*E48^5*$C48</f>
        <v>88.908304424214876</v>
      </c>
      <c r="H48" s="17">
        <f>Inputs!$C$6*(F48/60)^2*E48^4*'Propeller Data'!$B24</f>
        <v>25.496799550295869</v>
      </c>
      <c r="I48" s="16">
        <f>Inputs!$C$19</f>
        <v>0.1651</v>
      </c>
      <c r="J48" s="7">
        <f>60*Inputs!$C$9/I48/$A48</f>
        <v>1677.3051297581885</v>
      </c>
      <c r="K48" s="7">
        <f>Inputs!$C$6*(J48/60)^3*I48^5*$C48</f>
        <v>150.25503447692304</v>
      </c>
      <c r="L48" s="17">
        <f>Inputs!$C$6*(J48/60)^2*I48^4*'Propeller Data'!$B24</f>
        <v>43.08959123999999</v>
      </c>
      <c r="M48" s="16">
        <f>Inputs!$C$20</f>
        <v>0.20319999999999999</v>
      </c>
      <c r="N48" s="7">
        <f>60*Inputs!$C$9/M48/$A48</f>
        <v>1362.8104179285283</v>
      </c>
      <c r="O48" s="7">
        <f>Inputs!$C$6*(N48/60)^3*M48^5*$C48</f>
        <v>227.60525932599</v>
      </c>
      <c r="P48" s="17">
        <f>Inputs!$C$6*(N48/60)^2*M48^4*'Propeller Data'!$B24</f>
        <v>65.271806848757407</v>
      </c>
      <c r="Q48" s="16">
        <f>Inputs!$C$21</f>
        <v>0.24129999999999999</v>
      </c>
      <c r="R48" s="7">
        <f>60*Inputs!$C$9/Q48/$A48</f>
        <v>1147.6298256240239</v>
      </c>
      <c r="S48" s="7">
        <f>Inputs!$C$6*(R48/60)^3*Q48^5*$C48</f>
        <v>320.9589789714156</v>
      </c>
      <c r="T48" s="17">
        <f>Inputs!$C$6*(R48/60)^2*Q48^4*'Propeller Data'!$B24</f>
        <v>92.043446376568056</v>
      </c>
    </row>
    <row r="49" spans="1:20" ht="15" customHeight="1">
      <c r="A49" s="62">
        <f>'Propeller Data'!A25</f>
        <v>0.28000000000000003</v>
      </c>
      <c r="B49" s="6">
        <f>'Propeller Data'!B25</f>
        <v>6.8199999999999997E-2</v>
      </c>
      <c r="C49" s="63">
        <f>'Propeller Data'!C25</f>
        <v>5.3100000000000001E-2</v>
      </c>
      <c r="D49" s="109">
        <f>'Propeller Data'!B25*'Propeller Data'!A25/('Propeller Data'!C25)</f>
        <v>0.35962335216572505</v>
      </c>
      <c r="E49" s="13">
        <f>Inputs!$C$18</f>
        <v>0.127</v>
      </c>
      <c r="F49" s="7">
        <f>60*Inputs!$C$9/E49/$A49</f>
        <v>2024.7469066366702</v>
      </c>
      <c r="G49" s="7">
        <f>Inputs!$C$6*(F49/60)^3*E49^5*$C49</f>
        <v>69.102772543731746</v>
      </c>
      <c r="H49" s="17">
        <f>Inputs!$C$6*(F49/60)^2*E49^4*'Propeller Data'!$B25</f>
        <v>20.709142255102037</v>
      </c>
      <c r="I49" s="16">
        <f>Inputs!$C$19</f>
        <v>0.1651</v>
      </c>
      <c r="J49" s="7">
        <f>60*Inputs!$C$9/I49/$A49</f>
        <v>1557.4976204897464</v>
      </c>
      <c r="K49" s="7">
        <f>Inputs!$C$6*(J49/60)^3*I49^5*$C49</f>
        <v>116.78368559890671</v>
      </c>
      <c r="L49" s="17">
        <f>Inputs!$C$6*(J49/60)^2*I49^4*'Propeller Data'!$B25</f>
        <v>34.998450411122448</v>
      </c>
      <c r="M49" s="16">
        <f>Inputs!$C$20</f>
        <v>0.20319999999999999</v>
      </c>
      <c r="N49" s="7">
        <f>60*Inputs!$C$9/M49/$A49</f>
        <v>1265.4668166479191</v>
      </c>
      <c r="O49" s="7">
        <f>Inputs!$C$6*(N49/60)^3*M49^5*$C49</f>
        <v>176.90309771195336</v>
      </c>
      <c r="P49" s="17">
        <f>Inputs!$C$6*(N49/60)^2*M49^4*'Propeller Data'!$B25</f>
        <v>53.015404173061221</v>
      </c>
      <c r="Q49" s="16">
        <f>Inputs!$C$21</f>
        <v>0.24129999999999999</v>
      </c>
      <c r="R49" s="7">
        <f>60*Inputs!$C$9/Q49/$A49</f>
        <v>1065.6562666508792</v>
      </c>
      <c r="S49" s="7">
        <f>Inputs!$C$6*(R49/60)^3*Q49^5*$C49</f>
        <v>249.46100888287165</v>
      </c>
      <c r="T49" s="17">
        <f>Inputs!$C$6*(R49/60)^2*Q49^4*'Propeller Data'!$B25</f>
        <v>74.760003540918348</v>
      </c>
    </row>
    <row r="50" spans="1:20" ht="15" customHeight="1">
      <c r="A50" s="62">
        <f>'Propeller Data'!A26</f>
        <v>0.3</v>
      </c>
      <c r="B50" s="6">
        <f>'Propeller Data'!B26</f>
        <v>6.4000000000000001E-2</v>
      </c>
      <c r="C50" s="63">
        <f>'Propeller Data'!C26</f>
        <v>5.1499999999999997E-2</v>
      </c>
      <c r="D50" s="109">
        <f>'Propeller Data'!B26*'Propeller Data'!A26/('Propeller Data'!C26)</f>
        <v>0.37281553398058254</v>
      </c>
      <c r="E50" s="13">
        <f>Inputs!$C$18</f>
        <v>0.127</v>
      </c>
      <c r="F50" s="7">
        <f>60*Inputs!$C$9/E50/$A50</f>
        <v>1889.7637795275591</v>
      </c>
      <c r="G50" s="7">
        <f>Inputs!$C$6*(F50/60)^3*E50^5*$C50</f>
        <v>54.490213600000011</v>
      </c>
      <c r="H50" s="17">
        <f>Inputs!$C$6*(F50/60)^2*E50^4*'Propeller Data'!$B26</f>
        <v>16.928998400000001</v>
      </c>
      <c r="I50" s="16">
        <f>Inputs!$C$19</f>
        <v>0.1651</v>
      </c>
      <c r="J50" s="7">
        <f>60*Inputs!$C$9/I50/$A50</f>
        <v>1453.6644457904301</v>
      </c>
      <c r="K50" s="7">
        <f>Inputs!$C$6*(J50/60)^3*I50^5*$C50</f>
        <v>92.088460983999994</v>
      </c>
      <c r="L50" s="17">
        <f>Inputs!$C$6*(J50/60)^2*I50^4*'Propeller Data'!$B26</f>
        <v>28.610007295999996</v>
      </c>
      <c r="M50" s="16">
        <f>Inputs!$C$20</f>
        <v>0.20319999999999999</v>
      </c>
      <c r="N50" s="7">
        <f>60*Inputs!$C$9/M50/$A50</f>
        <v>1181.1023622047246</v>
      </c>
      <c r="O50" s="7">
        <f>Inputs!$C$6*(N50/60)^3*M50^5*$C50</f>
        <v>139.49494681600007</v>
      </c>
      <c r="P50" s="17">
        <f>Inputs!$C$6*(N50/60)^2*M50^4*'Propeller Data'!$B26</f>
        <v>43.338235904000008</v>
      </c>
      <c r="Q50" s="16">
        <f>Inputs!$C$21</f>
        <v>0.24129999999999999</v>
      </c>
      <c r="R50" s="7">
        <f>60*Inputs!$C$9/Q50/$A50</f>
        <v>994.61251554082071</v>
      </c>
      <c r="S50" s="7">
        <f>Inputs!$C$6*(R50/60)^3*Q50^5*$C50</f>
        <v>196.70967109600008</v>
      </c>
      <c r="T50" s="17">
        <f>Inputs!$C$6*(R50/60)^2*Q50^4*'Propeller Data'!$B26</f>
        <v>61.113684224000018</v>
      </c>
    </row>
    <row r="51" spans="1:20" ht="15" customHeight="1">
      <c r="A51" s="62">
        <f>'Propeller Data'!A27</f>
        <v>0.32</v>
      </c>
      <c r="B51" s="6">
        <f>'Propeller Data'!B27</f>
        <v>5.9900000000000002E-2</v>
      </c>
      <c r="C51" s="63">
        <f>'Propeller Data'!C27</f>
        <v>4.99E-2</v>
      </c>
      <c r="D51" s="109">
        <f>'Propeller Data'!B27*'Propeller Data'!A27/('Propeller Data'!C27)</f>
        <v>0.38412825651302607</v>
      </c>
      <c r="E51" s="13">
        <f>Inputs!$C$18</f>
        <v>0.127</v>
      </c>
      <c r="F51" s="7">
        <f>60*Inputs!$C$9/E51/$A51</f>
        <v>1771.6535433070867</v>
      </c>
      <c r="G51" s="7">
        <f>Inputs!$C$6*(F51/60)^3*E51^5*$C51</f>
        <v>43.503645981445317</v>
      </c>
      <c r="H51" s="17">
        <f>Inputs!$C$6*(F51/60)^2*E51^4*'Propeller Data'!$B27</f>
        <v>13.925816402343751</v>
      </c>
      <c r="I51" s="16">
        <f>Inputs!$C$19</f>
        <v>0.1651</v>
      </c>
      <c r="J51" s="7">
        <f>60*Inputs!$C$9/I51/$A51</f>
        <v>1362.8104179285283</v>
      </c>
      <c r="K51" s="7">
        <f>Inputs!$C$6*(J51/60)^3*I51^5*$C51</f>
        <v>73.521161708642595</v>
      </c>
      <c r="L51" s="17">
        <f>Inputs!$C$6*(J51/60)^2*I51^4*'Propeller Data'!$B27</f>
        <v>23.53462971996094</v>
      </c>
      <c r="M51" s="16">
        <f>Inputs!$C$20</f>
        <v>0.20319999999999999</v>
      </c>
      <c r="N51" s="7">
        <f>60*Inputs!$C$9/M51/$A51</f>
        <v>1107.2834645669293</v>
      </c>
      <c r="O51" s="7">
        <f>Inputs!$C$6*(N51/60)^3*M51^5*$C51</f>
        <v>111.36933371250007</v>
      </c>
      <c r="P51" s="17">
        <f>Inputs!$C$6*(N51/60)^2*M51^4*'Propeller Data'!$B27</f>
        <v>35.650089990000012</v>
      </c>
      <c r="Q51" s="16">
        <f>Inputs!$C$21</f>
        <v>0.24129999999999999</v>
      </c>
      <c r="R51" s="7">
        <f>60*Inputs!$C$9/Q51/$A51</f>
        <v>932.44923331951929</v>
      </c>
      <c r="S51" s="7">
        <f>Inputs!$C$6*(R51/60)^3*Q51^5*$C51</f>
        <v>157.04816199301757</v>
      </c>
      <c r="T51" s="17">
        <f>Inputs!$C$6*(R51/60)^2*Q51^4*'Propeller Data'!$B27</f>
        <v>50.272197212460931</v>
      </c>
    </row>
    <row r="52" spans="1:20" ht="15" customHeight="1">
      <c r="A52" s="62">
        <f>'Propeller Data'!A28</f>
        <v>0.34</v>
      </c>
      <c r="B52" s="6">
        <f>'Propeller Data'!B28</f>
        <v>5.57E-2</v>
      </c>
      <c r="C52" s="63">
        <f>'Propeller Data'!C28</f>
        <v>4.8300000000000003E-2</v>
      </c>
      <c r="D52" s="109">
        <f>'Propeller Data'!B28*'Propeller Data'!A28/('Propeller Data'!C28)</f>
        <v>0.39209109730848857</v>
      </c>
      <c r="E52" s="13">
        <f>Inputs!$C$18</f>
        <v>0.127</v>
      </c>
      <c r="F52" s="7">
        <f>60*Inputs!$C$9/E52/$A52</f>
        <v>1667.438628994905</v>
      </c>
      <c r="G52" s="7">
        <f>Inputs!$C$6*(F52/60)^3*E52^5*$C52</f>
        <v>35.106329529818844</v>
      </c>
      <c r="H52" s="17">
        <f>Inputs!$C$6*(F52/60)^2*E52^4*'Propeller Data'!$B28</f>
        <v>11.47073272318339</v>
      </c>
      <c r="I52" s="16">
        <f>Inputs!$C$19</f>
        <v>0.1651</v>
      </c>
      <c r="J52" s="7">
        <f>60*Inputs!$C$9/I52/$A52</f>
        <v>1282.6450992268501</v>
      </c>
      <c r="K52" s="7">
        <f>Inputs!$C$6*(J52/60)^3*I52^5*$C52</f>
        <v>59.329696905393853</v>
      </c>
      <c r="L52" s="17">
        <f>Inputs!$C$6*(J52/60)^2*I52^4*'Propeller Data'!$B28</f>
        <v>19.385538302179924</v>
      </c>
      <c r="M52" s="16">
        <f>Inputs!$C$20</f>
        <v>0.20319999999999999</v>
      </c>
      <c r="N52" s="7">
        <f>60*Inputs!$C$9/M52/$A52</f>
        <v>1042.1491431218158</v>
      </c>
      <c r="O52" s="7">
        <f>Inputs!$C$6*(N52/60)^3*M52^5*$C52</f>
        <v>89.872203596336277</v>
      </c>
      <c r="P52" s="17">
        <f>Inputs!$C$6*(N52/60)^2*M52^4*'Propeller Data'!$B28</f>
        <v>29.365075771349481</v>
      </c>
      <c r="Q52" s="16">
        <f>Inputs!$C$21</f>
        <v>0.24129999999999999</v>
      </c>
      <c r="R52" s="7">
        <f>60*Inputs!$C$9/Q52/$A52</f>
        <v>877.59927841837111</v>
      </c>
      <c r="S52" s="7">
        <f>Inputs!$C$6*(R52/60)^3*Q52^5*$C52</f>
        <v>126.73384960264606</v>
      </c>
      <c r="T52" s="17">
        <f>Inputs!$C$6*(R52/60)^2*Q52^4*'Propeller Data'!$B28</f>
        <v>41.409345130692039</v>
      </c>
    </row>
    <row r="53" spans="1:20" ht="15" customHeight="1">
      <c r="A53" s="62">
        <f>'Propeller Data'!A29</f>
        <v>0.36</v>
      </c>
      <c r="B53" s="6">
        <f>'Propeller Data'!B29</f>
        <v>5.1700000000000003E-2</v>
      </c>
      <c r="C53" s="63">
        <f>'Propeller Data'!C29</f>
        <v>4.6800000000000001E-2</v>
      </c>
      <c r="D53" s="109">
        <f>'Propeller Data'!B29*'Propeller Data'!A29/('Propeller Data'!C29)</f>
        <v>0.39769230769230768</v>
      </c>
      <c r="E53" s="13">
        <f>Inputs!$C$18</f>
        <v>0.127</v>
      </c>
      <c r="F53" s="7">
        <f>60*Inputs!$C$9/E53/$A53</f>
        <v>1574.8031496062993</v>
      </c>
      <c r="G53" s="7">
        <f>Inputs!$C$6*(F53/60)^3*E53^5*$C53</f>
        <v>28.655856666666672</v>
      </c>
      <c r="H53" s="17">
        <f>Inputs!$C$6*(F53/60)^2*E53^4*'Propeller Data'!$B29</f>
        <v>9.4968448055555577</v>
      </c>
      <c r="I53" s="16">
        <f>Inputs!$C$19</f>
        <v>0.1651</v>
      </c>
      <c r="J53" s="7">
        <f>60*Inputs!$C$9/I53/$A53</f>
        <v>1211.3870381586919</v>
      </c>
      <c r="K53" s="7">
        <f>Inputs!$C$6*(J53/60)^3*I53^5*$C53</f>
        <v>48.428397766666691</v>
      </c>
      <c r="L53" s="17">
        <f>Inputs!$C$6*(J53/60)^2*I53^4*'Propeller Data'!$B29</f>
        <v>16.049667721388889</v>
      </c>
      <c r="M53" s="16">
        <f>Inputs!$C$20</f>
        <v>0.20319999999999999</v>
      </c>
      <c r="N53" s="7">
        <f>60*Inputs!$C$9/M53/$A53</f>
        <v>984.25196850393718</v>
      </c>
      <c r="O53" s="7">
        <f>Inputs!$C$6*(N53/60)^3*M53^5*$C53</f>
        <v>73.358993066666713</v>
      </c>
      <c r="P53" s="17">
        <f>Inputs!$C$6*(N53/60)^2*M53^4*'Propeller Data'!$B29</f>
        <v>24.311922702222233</v>
      </c>
      <c r="Q53" s="16">
        <f>Inputs!$C$21</f>
        <v>0.24129999999999999</v>
      </c>
      <c r="R53" s="7">
        <f>60*Inputs!$C$9/Q53/$A53</f>
        <v>828.84376295068387</v>
      </c>
      <c r="S53" s="7">
        <f>Inputs!$C$6*(R53/60)^3*Q53^5*$C53</f>
        <v>103.44764256666669</v>
      </c>
      <c r="T53" s="17">
        <f>Inputs!$C$6*(R53/60)^2*Q53^4*'Propeller Data'!$B29</f>
        <v>34.283609748055561</v>
      </c>
    </row>
    <row r="54" spans="1:20" ht="15" customHeight="1">
      <c r="A54" s="62">
        <f>'Propeller Data'!A30</f>
        <v>0.38</v>
      </c>
      <c r="B54" s="6">
        <f>'Propeller Data'!B30</f>
        <v>4.7600000000000003E-2</v>
      </c>
      <c r="C54" s="63">
        <f>'Propeller Data'!C30</f>
        <v>4.5600000000000002E-2</v>
      </c>
      <c r="D54" s="109">
        <f>'Propeller Data'!B30*'Propeller Data'!A30/('Propeller Data'!C30)</f>
        <v>0.39666666666666667</v>
      </c>
      <c r="E54" s="13">
        <f>Inputs!$C$18</f>
        <v>0.127</v>
      </c>
      <c r="F54" s="7">
        <f>60*Inputs!$C$9/E54/$A54</f>
        <v>1491.9187733112308</v>
      </c>
      <c r="G54" s="7">
        <f>Inputs!$C$6*(F54/60)^3*E54^5*$C54</f>
        <v>23.740458282548477</v>
      </c>
      <c r="H54" s="17">
        <f>Inputs!$C$6*(F54/60)^2*E54^4*'Propeller Data'!$B30</f>
        <v>7.8475403767313026</v>
      </c>
      <c r="I54" s="16">
        <f>Inputs!$C$19</f>
        <v>0.1651</v>
      </c>
      <c r="J54" s="7">
        <f>60*Inputs!$C$9/I54/$A54</f>
        <v>1147.6298256240239</v>
      </c>
      <c r="K54" s="7">
        <f>Inputs!$C$6*(J54/60)^3*I54^5*$C54</f>
        <v>40.121374497506935</v>
      </c>
      <c r="L54" s="17">
        <f>Inputs!$C$6*(J54/60)^2*I54^4*'Propeller Data'!$B30</f>
        <v>13.262343236675905</v>
      </c>
      <c r="M54" s="16">
        <f>Inputs!$C$20</f>
        <v>0.20319999999999999</v>
      </c>
      <c r="N54" s="7">
        <f>60*Inputs!$C$9/M54/$A54</f>
        <v>932.44923331951941</v>
      </c>
      <c r="O54" s="7">
        <f>Inputs!$C$6*(N54/60)^3*M54^5*$C54</f>
        <v>60.775573203324122</v>
      </c>
      <c r="P54" s="17">
        <f>Inputs!$C$6*(N54/60)^2*M54^4*'Propeller Data'!$B30</f>
        <v>20.08970336443214</v>
      </c>
      <c r="Q54" s="16">
        <f>Inputs!$C$21</f>
        <v>0.24129999999999999</v>
      </c>
      <c r="R54" s="7">
        <f>60*Inputs!$C$9/Q54/$A54</f>
        <v>785.22040700591106</v>
      </c>
      <c r="S54" s="7">
        <f>Inputs!$C$6*(R54/60)^3*Q54^5*$C54</f>
        <v>85.703054400000042</v>
      </c>
      <c r="T54" s="17">
        <f>Inputs!$C$6*(R54/60)^2*Q54^4*'Propeller Data'!$B30</f>
        <v>28.329620760000012</v>
      </c>
    </row>
    <row r="55" spans="1:20" ht="15" customHeight="1">
      <c r="A55" s="62">
        <f>'Propeller Data'!A31</f>
        <v>0.4</v>
      </c>
      <c r="B55" s="6">
        <f>'Propeller Data'!B31</f>
        <v>4.3499999999999997E-2</v>
      </c>
      <c r="C55" s="63">
        <f>'Propeller Data'!C31</f>
        <v>4.48E-2</v>
      </c>
      <c r="D55" s="109">
        <f>'Propeller Data'!B31*'Propeller Data'!A31/('Propeller Data'!C31)</f>
        <v>0.3883928571428571</v>
      </c>
      <c r="E55" s="13">
        <f>Inputs!$C$18</f>
        <v>0.127</v>
      </c>
      <c r="F55" s="7">
        <f>60*Inputs!$C$9/E55/$A55</f>
        <v>1417.3228346456692</v>
      </c>
      <c r="G55" s="7">
        <f>Inputs!$C$6*(F55/60)^3*E55^5*$C55</f>
        <v>19.997379359999993</v>
      </c>
      <c r="H55" s="17">
        <f>Inputs!$C$6*(F55/60)^2*E55^4*'Propeller Data'!$B31</f>
        <v>6.4723660874999993</v>
      </c>
      <c r="I55" s="16">
        <f>Inputs!$C$19</f>
        <v>0.1651</v>
      </c>
      <c r="J55" s="7">
        <f>60*Inputs!$C$9/I55/$A55</f>
        <v>1090.2483343428225</v>
      </c>
      <c r="K55" s="7">
        <f>Inputs!$C$6*(J55/60)^3*I55^5*$C55</f>
        <v>33.795571118400012</v>
      </c>
      <c r="L55" s="17">
        <f>Inputs!$C$6*(J55/60)^2*I55^4*'Propeller Data'!$B31</f>
        <v>10.938298687875001</v>
      </c>
      <c r="M55" s="16">
        <f>Inputs!$C$20</f>
        <v>0.20319999999999999</v>
      </c>
      <c r="N55" s="7">
        <f>60*Inputs!$C$9/M55/$A55</f>
        <v>885.82677165354335</v>
      </c>
      <c r="O55" s="7">
        <f>Inputs!$C$6*(N55/60)^3*M55^5*$C55</f>
        <v>51.193291161600001</v>
      </c>
      <c r="P55" s="17">
        <f>Inputs!$C$6*(N55/60)^2*M55^4*'Propeller Data'!$B31</f>
        <v>16.569257183999998</v>
      </c>
      <c r="Q55" s="16">
        <f>Inputs!$C$21</f>
        <v>0.24129999999999999</v>
      </c>
      <c r="R55" s="7">
        <f>60*Inputs!$C$9/Q55/$A55</f>
        <v>745.95938665561539</v>
      </c>
      <c r="S55" s="7">
        <f>Inputs!$C$6*(R55/60)^3*Q55^5*$C55</f>
        <v>72.190539489599985</v>
      </c>
      <c r="T55" s="17">
        <f>Inputs!$C$6*(R55/60)^2*Q55^4*'Propeller Data'!$B31</f>
        <v>23.365241575874997</v>
      </c>
    </row>
    <row r="56" spans="1:20" ht="15" customHeight="1">
      <c r="A56" s="62">
        <f>'Propeller Data'!A32</f>
        <v>0.42</v>
      </c>
      <c r="B56" s="6">
        <f>'Propeller Data'!B32</f>
        <v>3.8800000000000001E-2</v>
      </c>
      <c r="C56" s="63">
        <f>'Propeller Data'!C32</f>
        <v>4.36E-2</v>
      </c>
      <c r="D56" s="109">
        <f>'Propeller Data'!B32*'Propeller Data'!A32/('Propeller Data'!C32)</f>
        <v>0.37376146788990827</v>
      </c>
      <c r="E56" s="13">
        <f>Inputs!$C$18</f>
        <v>0.127</v>
      </c>
      <c r="F56" s="7">
        <f>60*Inputs!$C$9/E56/$A56</f>
        <v>1349.8312710911136</v>
      </c>
      <c r="G56" s="7">
        <f>Inputs!$C$6*(F56/60)^3*E56^5*$C56</f>
        <v>16.811778658892134</v>
      </c>
      <c r="H56" s="17">
        <f>Inputs!$C$6*(F56/60)^2*E56^4*'Propeller Data'!$B32</f>
        <v>5.236329224489797</v>
      </c>
      <c r="I56" s="16">
        <f>Inputs!$C$19</f>
        <v>0.1651</v>
      </c>
      <c r="J56" s="7">
        <f>60*Inputs!$C$9/I56/$A56</f>
        <v>1038.3317469931644</v>
      </c>
      <c r="K56" s="7">
        <f>Inputs!$C$6*(J56/60)^3*I56^5*$C56</f>
        <v>28.411905933527709</v>
      </c>
      <c r="L56" s="17">
        <f>Inputs!$C$6*(J56/60)^2*I56^4*'Propeller Data'!$B32</f>
        <v>8.8493963893877563</v>
      </c>
      <c r="M56" s="16">
        <f>Inputs!$C$20</f>
        <v>0.20319999999999999</v>
      </c>
      <c r="N56" s="7">
        <f>60*Inputs!$C$9/M56/$A56</f>
        <v>843.64454443194609</v>
      </c>
      <c r="O56" s="7">
        <f>Inputs!$C$6*(N56/60)^3*M56^5*$C56</f>
        <v>43.038153366763865</v>
      </c>
      <c r="P56" s="17">
        <f>Inputs!$C$6*(N56/60)^2*M56^4*'Propeller Data'!$B32</f>
        <v>13.405002814693882</v>
      </c>
      <c r="Q56" s="16">
        <f>Inputs!$C$21</f>
        <v>0.24129999999999999</v>
      </c>
      <c r="R56" s="7">
        <f>60*Inputs!$C$9/Q56/$A56</f>
        <v>710.43751110058622</v>
      </c>
      <c r="S56" s="7">
        <f>Inputs!$C$6*(R56/60)^3*Q56^5*$C56</f>
        <v>60.690520958600601</v>
      </c>
      <c r="T56" s="17">
        <f>Inputs!$C$6*(R56/60)^2*Q56^4*'Propeller Data'!$B32</f>
        <v>18.903148500408168</v>
      </c>
    </row>
    <row r="57" spans="1:20" ht="15" customHeight="1">
      <c r="A57" s="62">
        <f>'Propeller Data'!A33</f>
        <v>0.43</v>
      </c>
      <c r="B57" s="6">
        <f>'Propeller Data'!B33</f>
        <v>3.3700000000000001E-2</v>
      </c>
      <c r="C57" s="63">
        <f>'Propeller Data'!C33</f>
        <v>4.1799999999999997E-2</v>
      </c>
      <c r="D57" s="109">
        <f>'Propeller Data'!B33*'Propeller Data'!A33/('Propeller Data'!C33)</f>
        <v>0.34667464114832541</v>
      </c>
      <c r="E57" s="13">
        <f>Inputs!$C$18</f>
        <v>0.127</v>
      </c>
      <c r="F57" s="7">
        <f>60*Inputs!$C$9/E57/$A57</f>
        <v>1318.4398461820181</v>
      </c>
      <c r="G57" s="7">
        <f>Inputs!$C$6*(F57/60)^3*E57^5*$C57</f>
        <v>15.01917094897305</v>
      </c>
      <c r="H57" s="17">
        <f>Inputs!$C$6*(F57/60)^2*E57^4*'Propeller Data'!$B33</f>
        <v>4.3389714159004882</v>
      </c>
      <c r="I57" s="16">
        <f>Inputs!$C$19</f>
        <v>0.1651</v>
      </c>
      <c r="J57" s="7">
        <f>60*Inputs!$C$9/I57/$A57</f>
        <v>1014.1844970630908</v>
      </c>
      <c r="K57" s="7">
        <f>Inputs!$C$6*(J57/60)^3*I57^5*$C57</f>
        <v>25.382398903764461</v>
      </c>
      <c r="L57" s="17">
        <f>Inputs!$C$6*(J57/60)^2*I57^4*'Propeller Data'!$B33</f>
        <v>7.3328616928718251</v>
      </c>
      <c r="M57" s="16">
        <f>Inputs!$C$20</f>
        <v>0.20319999999999999</v>
      </c>
      <c r="N57" s="7">
        <f>60*Inputs!$C$9/M57/$A57</f>
        <v>824.02490386376132</v>
      </c>
      <c r="O57" s="7">
        <f>Inputs!$C$6*(N57/60)^3*M57^5*$C57</f>
        <v>38.449077629371011</v>
      </c>
      <c r="P57" s="17">
        <f>Inputs!$C$6*(N57/60)^2*M57^4*'Propeller Data'!$B33</f>
        <v>11.10776682470525</v>
      </c>
      <c r="Q57" s="16">
        <f>Inputs!$C$21</f>
        <v>0.24129999999999999</v>
      </c>
      <c r="R57" s="7">
        <f>60*Inputs!$C$9/Q57/$A57</f>
        <v>693.91570851685162</v>
      </c>
      <c r="S57" s="7">
        <f>Inputs!$C$6*(R57/60)^3*Q57^5*$C57</f>
        <v>54.2192071257927</v>
      </c>
      <c r="T57" s="17">
        <f>Inputs!$C$6*(R57/60)^2*Q57^4*'Propeller Data'!$B33</f>
        <v>15.663686811400758</v>
      </c>
    </row>
    <row r="58" spans="1:20" ht="15" customHeight="1">
      <c r="A58" s="62">
        <f>'Propeller Data'!A34</f>
        <v>0.45</v>
      </c>
      <c r="B58" s="6">
        <f>'Propeller Data'!B34</f>
        <v>2.8500000000000001E-2</v>
      </c>
      <c r="C58" s="63">
        <f>'Propeller Data'!C34</f>
        <v>4.0099999999999997E-2</v>
      </c>
      <c r="D58" s="109">
        <f>'Propeller Data'!B34*'Propeller Data'!A34/('Propeller Data'!C34)</f>
        <v>0.31982543640897759</v>
      </c>
      <c r="E58" s="13">
        <f>Inputs!$C$18</f>
        <v>0.127</v>
      </c>
      <c r="F58" s="7">
        <f>60*Inputs!$C$9/E58/$A58</f>
        <v>1259.8425196850394</v>
      </c>
      <c r="G58" s="7">
        <f>Inputs!$C$6*(F58/60)^3*E58^5*$C58</f>
        <v>12.571348811851852</v>
      </c>
      <c r="H58" s="17">
        <f>Inputs!$C$6*(F58/60)^2*E58^4*'Propeller Data'!$B34</f>
        <v>3.3505309333333337</v>
      </c>
      <c r="I58" s="16">
        <f>Inputs!$C$19</f>
        <v>0.1651</v>
      </c>
      <c r="J58" s="7">
        <f>60*Inputs!$C$9/I58/$A58</f>
        <v>969.10963052695342</v>
      </c>
      <c r="K58" s="7">
        <f>Inputs!$C$6*(J58/60)^3*I58^5*$C58</f>
        <v>21.245579492029638</v>
      </c>
      <c r="L58" s="17">
        <f>Inputs!$C$6*(J58/60)^2*I58^4*'Propeller Data'!$B34</f>
        <v>5.6623972773333344</v>
      </c>
      <c r="M58" s="16">
        <f>Inputs!$C$20</f>
        <v>0.20319999999999999</v>
      </c>
      <c r="N58" s="7">
        <f>60*Inputs!$C$9/M58/$A58</f>
        <v>787.40157480314963</v>
      </c>
      <c r="O58" s="7">
        <f>Inputs!$C$6*(N58/60)^3*M58^5*$C58</f>
        <v>32.182652958340739</v>
      </c>
      <c r="P58" s="17">
        <f>Inputs!$C$6*(N58/60)^2*M58^4*'Propeller Data'!$B34</f>
        <v>8.5773591893333343</v>
      </c>
      <c r="Q58" s="16">
        <f>Inputs!$C$21</f>
        <v>0.24129999999999999</v>
      </c>
      <c r="R58" s="7">
        <f>60*Inputs!$C$9/Q58/$A58</f>
        <v>663.07501036054703</v>
      </c>
      <c r="S58" s="7">
        <f>Inputs!$C$6*(R58/60)^3*Q58^5*$C58</f>
        <v>45.382569210785178</v>
      </c>
      <c r="T58" s="17">
        <f>Inputs!$C$6*(R58/60)^2*Q58^4*'Propeller Data'!$B34</f>
        <v>12.095416669333334</v>
      </c>
    </row>
    <row r="59" spans="1:20" ht="15" customHeight="1">
      <c r="A59" s="62">
        <f>'Propeller Data'!A35</f>
        <v>0.47</v>
      </c>
      <c r="B59" s="6">
        <f>'Propeller Data'!B35</f>
        <v>2.3E-2</v>
      </c>
      <c r="C59" s="63">
        <f>'Propeller Data'!C35</f>
        <v>3.7900000000000003E-2</v>
      </c>
      <c r="D59" s="109">
        <f>'Propeller Data'!B35*'Propeller Data'!A35/('Propeller Data'!C35)</f>
        <v>0.28522427440633241</v>
      </c>
      <c r="E59" s="13">
        <f>Inputs!$C$18</f>
        <v>0.127</v>
      </c>
      <c r="F59" s="7">
        <f>60*Inputs!$C$9/E59/$A59</f>
        <v>1206.2321996984419</v>
      </c>
      <c r="G59" s="7">
        <f>Inputs!$C$6*(F59/60)^3*E59^5*$C59</f>
        <v>10.428472052628033</v>
      </c>
      <c r="H59" s="17">
        <f>Inputs!$C$6*(F59/60)^2*E59^4*'Propeller Data'!$B35</f>
        <v>2.4787111453146227</v>
      </c>
      <c r="I59" s="16">
        <f>Inputs!$C$19</f>
        <v>0.1651</v>
      </c>
      <c r="J59" s="7">
        <f>60*Inputs!$C$9/I59/$A59</f>
        <v>927.87092284495543</v>
      </c>
      <c r="K59" s="7">
        <f>Inputs!$C$6*(J59/60)^3*I59^5*$C59</f>
        <v>17.624117768941378</v>
      </c>
      <c r="L59" s="17">
        <f>Inputs!$C$6*(J59/60)^2*I59^4*'Propeller Data'!$B35</f>
        <v>4.1890218355817117</v>
      </c>
      <c r="M59" s="16">
        <f>Inputs!$C$20</f>
        <v>0.20319999999999999</v>
      </c>
      <c r="N59" s="7">
        <f>60*Inputs!$C$9/M59/$A59</f>
        <v>753.89512481152633</v>
      </c>
      <c r="O59" s="7">
        <f>Inputs!$C$6*(N59/60)^3*M59^5*$C59</f>
        <v>26.696888454727773</v>
      </c>
      <c r="P59" s="17">
        <f>Inputs!$C$6*(N59/60)^2*M59^4*'Propeller Data'!$B35</f>
        <v>6.3455005320054338</v>
      </c>
      <c r="Q59" s="16">
        <f>Inputs!$C$21</f>
        <v>0.24129999999999999</v>
      </c>
      <c r="R59" s="7">
        <f>60*Inputs!$C$9/Q59/$A59</f>
        <v>634.85905247286428</v>
      </c>
      <c r="S59" s="7">
        <f>Inputs!$C$6*(R59/60)^3*Q59^5*$C59</f>
        <v>37.646784109987202</v>
      </c>
      <c r="T59" s="17">
        <f>Inputs!$C$6*(R59/60)^2*Q59^4*'Propeller Data'!$B35</f>
        <v>8.9481472345857878</v>
      </c>
    </row>
    <row r="60" spans="1:20" ht="15" customHeight="1">
      <c r="A60" s="62">
        <f>'Propeller Data'!A36</f>
        <v>0.49</v>
      </c>
      <c r="B60" s="6">
        <f>'Propeller Data'!B36</f>
        <v>1.7399999999999999E-2</v>
      </c>
      <c r="C60" s="63">
        <f>'Propeller Data'!C36</f>
        <v>3.5700000000000003E-2</v>
      </c>
      <c r="D60" s="109">
        <f>'Propeller Data'!B36*'Propeller Data'!A36/('Propeller Data'!C36)</f>
        <v>0.23882352941176466</v>
      </c>
      <c r="E60" s="13">
        <f>Inputs!$C$18</f>
        <v>0.127</v>
      </c>
      <c r="F60" s="7">
        <f>60*Inputs!$C$9/E60/$A60</f>
        <v>1156.9982323638117</v>
      </c>
      <c r="G60" s="7">
        <f>Inputs!$C$6*(F60/60)^3*E60^5*$C60</f>
        <v>8.6687209186648424</v>
      </c>
      <c r="H60" s="17">
        <f>Inputs!$C$6*(F60/60)^2*E60^4*'Propeller Data'!$B36</f>
        <v>1.7252454377342772</v>
      </c>
      <c r="I60" s="16">
        <f>Inputs!$C$19</f>
        <v>0.1651</v>
      </c>
      <c r="J60" s="7">
        <f>60*Inputs!$C$9/I60/$A60</f>
        <v>889.99864027985518</v>
      </c>
      <c r="K60" s="7">
        <f>Inputs!$C$6*(J60/60)^3*I60^5*$C60</f>
        <v>14.650138352543584</v>
      </c>
      <c r="L60" s="17">
        <f>Inputs!$C$6*(J60/60)^2*I60^4*'Propeller Data'!$B36</f>
        <v>2.9156647897709282</v>
      </c>
      <c r="M60" s="16">
        <f>Inputs!$C$20</f>
        <v>0.20319999999999999</v>
      </c>
      <c r="N60" s="7">
        <f>60*Inputs!$C$9/M60/$A60</f>
        <v>723.12389522738238</v>
      </c>
      <c r="O60" s="7">
        <f>Inputs!$C$6*(N60/60)^3*M60^5*$C60</f>
        <v>22.191925551781996</v>
      </c>
      <c r="P60" s="17">
        <f>Inputs!$C$6*(N60/60)^2*M60^4*'Propeller Data'!$B36</f>
        <v>4.4166283205997496</v>
      </c>
      <c r="Q60" s="16">
        <f>Inputs!$C$21</f>
        <v>0.24129999999999999</v>
      </c>
      <c r="R60" s="7">
        <f>60*Inputs!$C$9/Q60/$A60</f>
        <v>608.94643808621674</v>
      </c>
      <c r="S60" s="7">
        <f>Inputs!$C$6*(R60/60)^3*Q60^5*$C60</f>
        <v>31.294082516380087</v>
      </c>
      <c r="T60" s="17">
        <f>Inputs!$C$6*(R60/60)^2*Q60^4*'Propeller Data'!$B36</f>
        <v>6.2281360302207416</v>
      </c>
    </row>
    <row r="61" spans="1:20" ht="15" customHeight="1">
      <c r="A61" s="62">
        <f>'Propeller Data'!A37</f>
        <v>0.51</v>
      </c>
      <c r="B61" s="6">
        <f>'Propeller Data'!B37</f>
        <v>1.09E-2</v>
      </c>
      <c r="C61" s="63">
        <f>'Propeller Data'!C37</f>
        <v>3.2800000000000003E-2</v>
      </c>
      <c r="D61" s="109">
        <f>'Propeller Data'!B37*'Propeller Data'!A37/('Propeller Data'!C37)</f>
        <v>0.16948170731707315</v>
      </c>
      <c r="E61" s="13">
        <f>Inputs!$C$18</f>
        <v>0.127</v>
      </c>
      <c r="F61" s="7">
        <f>60*Inputs!$C$9/E61/$A61</f>
        <v>1111.6257526632701</v>
      </c>
      <c r="G61" s="7">
        <f>Inputs!$C$6*(F61/60)^3*E61^5*$C61</f>
        <v>7.0637994545084508</v>
      </c>
      <c r="H61" s="17">
        <f>Inputs!$C$6*(F61/60)^2*E61^4*'Propeller Data'!$B37</f>
        <v>0.99765399307958513</v>
      </c>
      <c r="I61" s="16">
        <f>Inputs!$C$19</f>
        <v>0.1651</v>
      </c>
      <c r="J61" s="7">
        <f>60*Inputs!$C$9/I61/$A61</f>
        <v>855.09673281790003</v>
      </c>
      <c r="K61" s="7">
        <f>Inputs!$C$6*(J61/60)^3*I61^5*$C61</f>
        <v>11.937821078119276</v>
      </c>
      <c r="L61" s="17">
        <f>Inputs!$C$6*(J61/60)^2*I61^4*'Propeller Data'!$B37</f>
        <v>1.6860352483044978</v>
      </c>
      <c r="M61" s="16">
        <f>Inputs!$C$20</f>
        <v>0.20319999999999999</v>
      </c>
      <c r="N61" s="7">
        <f>60*Inputs!$C$9/M61/$A61</f>
        <v>694.76609541454388</v>
      </c>
      <c r="O61" s="7">
        <f>Inputs!$C$6*(N61/60)^3*M61^5*$C61</f>
        <v>18.083326603541632</v>
      </c>
      <c r="P61" s="17">
        <f>Inputs!$C$6*(N61/60)^2*M61^4*'Propeller Data'!$B37</f>
        <v>2.5539942222837371</v>
      </c>
      <c r="Q61" s="16">
        <f>Inputs!$C$21</f>
        <v>0.24129999999999999</v>
      </c>
      <c r="R61" s="7">
        <f>60*Inputs!$C$9/Q61/$A61</f>
        <v>585.06618561224741</v>
      </c>
      <c r="S61" s="7">
        <f>Inputs!$C$6*(R61/60)^3*Q61^5*$C61</f>
        <v>25.500316030775497</v>
      </c>
      <c r="T61" s="17">
        <f>Inputs!$C$6*(R61/60)^2*Q61^4*'Propeller Data'!$B37</f>
        <v>3.6015309150173009</v>
      </c>
    </row>
    <row r="62" spans="1:20" ht="15" customHeight="1">
      <c r="A62" s="62">
        <f>'Propeller Data'!A38</f>
        <v>0.53</v>
      </c>
      <c r="B62" s="6">
        <f>'Propeller Data'!B38</f>
        <v>5.8999999999999999E-3</v>
      </c>
      <c r="C62" s="63">
        <f>'Propeller Data'!C38</f>
        <v>3.1E-2</v>
      </c>
      <c r="D62" s="109">
        <f>'Propeller Data'!B38*'Propeller Data'!A38/('Propeller Data'!C38)</f>
        <v>0.10087096774193549</v>
      </c>
      <c r="E62" s="13">
        <f>Inputs!$C$18</f>
        <v>0.127</v>
      </c>
      <c r="F62" s="7">
        <f>60*Inputs!$C$9/E62/$A62</f>
        <v>1069.6776110533353</v>
      </c>
      <c r="G62" s="7">
        <f>Inputs!$C$6*(F62/60)^3*E62^5*$C62</f>
        <v>5.9485227993578604</v>
      </c>
      <c r="H62" s="17">
        <f>Inputs!$C$6*(F62/60)^2*E62^4*'Propeller Data'!$B38</f>
        <v>0.50002770950516195</v>
      </c>
      <c r="I62" s="16">
        <f>Inputs!$C$19</f>
        <v>0.1651</v>
      </c>
      <c r="J62" s="7">
        <f>60*Inputs!$C$9/I62/$A62</f>
        <v>822.82893157948865</v>
      </c>
      <c r="K62" s="7">
        <f>Inputs!$C$6*(J62/60)^3*I62^5*$C62</f>
        <v>10.053003530914783</v>
      </c>
      <c r="L62" s="17">
        <f>Inputs!$C$6*(J62/60)^2*I62^4*'Propeller Data'!$B38</f>
        <v>0.84504682906372364</v>
      </c>
      <c r="M62" s="16">
        <f>Inputs!$C$20</f>
        <v>0.20319999999999999</v>
      </c>
      <c r="N62" s="7">
        <f>60*Inputs!$C$9/M62/$A62</f>
        <v>668.54850690833462</v>
      </c>
      <c r="O62" s="7">
        <f>Inputs!$C$6*(N62/60)^3*M62^5*$C62</f>
        <v>15.228218366356126</v>
      </c>
      <c r="P62" s="17">
        <f>Inputs!$C$6*(N62/60)^2*M62^4*'Propeller Data'!$B38</f>
        <v>1.280070936333215</v>
      </c>
      <c r="Q62" s="16">
        <f>Inputs!$C$21</f>
        <v>0.24129999999999999</v>
      </c>
      <c r="R62" s="7">
        <f>60*Inputs!$C$9/Q62/$A62</f>
        <v>562.9882163438607</v>
      </c>
      <c r="S62" s="7">
        <f>Inputs!$C$6*(R62/60)^3*Q62^5*$C62</f>
        <v>21.474167305681867</v>
      </c>
      <c r="T62" s="17">
        <f>Inputs!$C$6*(R62/60)^2*Q62^4*'Propeller Data'!$B38</f>
        <v>1.8051000313136347</v>
      </c>
    </row>
    <row r="63" spans="1:20" ht="15" customHeight="1" thickBot="1">
      <c r="A63" s="111">
        <f>'Propeller Data'!A39</f>
        <v>0.55000000000000004</v>
      </c>
      <c r="B63" s="112">
        <f>'Propeller Data'!B39</f>
        <v>1E-4</v>
      </c>
      <c r="C63" s="113">
        <f>'Propeller Data'!C39</f>
        <v>2.8799999999999999E-2</v>
      </c>
      <c r="D63" s="110">
        <f>'Propeller Data'!B39*'Propeller Data'!A39/('Propeller Data'!C39)</f>
        <v>1.9097222222222226E-3</v>
      </c>
      <c r="E63" s="26">
        <f>Inputs!$C$18</f>
        <v>0.127</v>
      </c>
      <c r="F63" s="19">
        <f>60*Inputs!$C$9/E63/$A63</f>
        <v>1030.7802433786685</v>
      </c>
      <c r="G63" s="19">
        <f>Inputs!$C$6*(F63/60)^3*E63^5*$C63</f>
        <v>4.9451499458452268</v>
      </c>
      <c r="H63" s="20">
        <f>Inputs!$C$6*(F63/60)^2*E63^4*'Propeller Data'!$B39</f>
        <v>7.8698856198347097E-3</v>
      </c>
      <c r="I63" s="18">
        <f>Inputs!$C$19</f>
        <v>0.1651</v>
      </c>
      <c r="J63" s="19">
        <f>60*Inputs!$C$9/I63/$A63</f>
        <v>792.90787952205267</v>
      </c>
      <c r="K63" s="19">
        <f>Inputs!$C$6*(J63/60)^3*I63^5*$C63</f>
        <v>8.3573034084784332</v>
      </c>
      <c r="L63" s="20">
        <f>Inputs!$C$6*(J63/60)^2*I63^4*'Propeller Data'!$B39</f>
        <v>1.3300106697520657E-2</v>
      </c>
      <c r="M63" s="18">
        <f>Inputs!$C$20</f>
        <v>0.20319999999999999</v>
      </c>
      <c r="N63" s="19">
        <f>60*Inputs!$C$9/M63/$A63</f>
        <v>644.2376521116679</v>
      </c>
      <c r="O63" s="19">
        <f>Inputs!$C$6*(N63/60)^3*M63^5*$C63</f>
        <v>12.659583861363785</v>
      </c>
      <c r="P63" s="20">
        <f>Inputs!$C$6*(N63/60)^2*M63^4*'Propeller Data'!$B39</f>
        <v>2.014690718677686E-2</v>
      </c>
      <c r="Q63" s="18">
        <f>Inputs!$C$21</f>
        <v>0.24129999999999999</v>
      </c>
      <c r="R63" s="19">
        <f>60*Inputs!$C$9/Q63/$A63</f>
        <v>542.51591756772029</v>
      </c>
      <c r="S63" s="19">
        <f>Inputs!$C$6*(R63/60)^3*Q63^5*$C63</f>
        <v>17.851991304501272</v>
      </c>
      <c r="T63" s="20">
        <f>Inputs!$C$6*(R63/60)^2*Q63^4*'Propeller Data'!$B39</f>
        <v>2.8410287087603302E-2</v>
      </c>
    </row>
    <row r="64" spans="1:20" ht="15" customHeight="1">
      <c r="A64" s="2"/>
    </row>
    <row r="65" spans="1:20" ht="15" customHeight="1">
      <c r="A65" s="8" t="s">
        <v>137</v>
      </c>
    </row>
    <row r="66" spans="1:20" ht="15" customHeight="1">
      <c r="A66" s="2"/>
    </row>
    <row r="67" spans="1:20" ht="105">
      <c r="A67" s="32" t="s">
        <v>30</v>
      </c>
      <c r="B67" s="32" t="s">
        <v>134</v>
      </c>
      <c r="C67" s="32" t="s">
        <v>11</v>
      </c>
      <c r="D67" s="32" t="s">
        <v>12</v>
      </c>
      <c r="E67" s="32" t="s">
        <v>67</v>
      </c>
      <c r="F67" s="32" t="s">
        <v>68</v>
      </c>
      <c r="G67" s="32" t="s">
        <v>39</v>
      </c>
      <c r="H67" s="32" t="s">
        <v>60</v>
      </c>
      <c r="I67" s="32" t="s">
        <v>61</v>
      </c>
      <c r="J67" s="32" t="s">
        <v>62</v>
      </c>
      <c r="K67" s="32" t="s">
        <v>34</v>
      </c>
      <c r="L67" s="2"/>
      <c r="M67" s="2"/>
      <c r="N67" s="2"/>
      <c r="O67" s="2"/>
      <c r="P67" s="2"/>
      <c r="Q67" s="2"/>
      <c r="R67" s="2"/>
    </row>
    <row r="68" spans="1:20">
      <c r="A68" s="34">
        <f>'Propeller Sizing'!E41</f>
        <v>0.127</v>
      </c>
      <c r="B68" s="34">
        <f>IF(Inputs!$C$9=0,1,MATCH(Inputs!$C$15,H$35:H$63,-1)+1)</f>
        <v>21</v>
      </c>
      <c r="C68" s="34">
        <f>INDEX($H$34:$H$63,$B68)</f>
        <v>7.8475403767313026</v>
      </c>
      <c r="D68" s="34">
        <f>INDEX($H$34:$H$63,$B68+1)</f>
        <v>6.4723660874999993</v>
      </c>
      <c r="E68" s="34">
        <f>INDEX($G$34:$G$63,$B68)</f>
        <v>23.740458282548477</v>
      </c>
      <c r="F68" s="34">
        <f>INDEX($G$34:$G$63,$B68+1)</f>
        <v>19.997379359999993</v>
      </c>
      <c r="G68" s="34">
        <f>E68+ (E68-F68)/(C68-D68)*(Inputs!$C$15-C68)</f>
        <v>20.459104922643483</v>
      </c>
      <c r="H68" s="34">
        <f>INDEX($F$34:$F$63,$B68)</f>
        <v>1491.9187733112308</v>
      </c>
      <c r="I68" s="34">
        <f>INDEX($F$34:$F$63,$B68+1)</f>
        <v>1417.3228346456692</v>
      </c>
      <c r="J68" s="34">
        <f>H68+ (H68-I68)/(C68-D68)*(Inputs!$C$15-C68)</f>
        <v>1426.5245780403357</v>
      </c>
      <c r="K68" s="34">
        <f>A68/0.0254</f>
        <v>5</v>
      </c>
    </row>
    <row r="69" spans="1:20">
      <c r="A69" s="34">
        <f>'Propeller Sizing'!I41</f>
        <v>0.1651</v>
      </c>
      <c r="B69" s="34">
        <f>IF(Inputs!$C$9=0,1,MATCH(Inputs!$C$15,L$35:L$63,-1)+1)</f>
        <v>24</v>
      </c>
      <c r="C69" s="34">
        <f>INDEX($L$34:$L$63,$B69)</f>
        <v>7.3328616928718251</v>
      </c>
      <c r="D69" s="34">
        <f>INDEX($L$34:$L$63,$B69+1)</f>
        <v>5.6623972773333344</v>
      </c>
      <c r="E69" s="34">
        <f>INDEX($K$34:$K$63,$B69)</f>
        <v>25.382398903764461</v>
      </c>
      <c r="F69" s="34">
        <f>INDEX($K$34:$K$63,$B69+1)</f>
        <v>21.245579492029638</v>
      </c>
      <c r="G69" s="34">
        <f>E69+ (E69-F69)/(C69-D69)*(Inputs!$C$15-C69)</f>
        <v>23.671515370232349</v>
      </c>
      <c r="H69" s="34">
        <f>INDEX($J$34:$J$63,$B69)</f>
        <v>1014.1844970630908</v>
      </c>
      <c r="I69" s="34">
        <f>INDEX($J$34:$J$63,$B69+1)</f>
        <v>969.10963052695342</v>
      </c>
      <c r="J69" s="34">
        <f>H69+ (H69-I69)/(C69-D69)*(Inputs!$C$15-C69)</f>
        <v>995.54267607518966</v>
      </c>
      <c r="K69" s="34">
        <f>A69/0.0254</f>
        <v>6.5</v>
      </c>
    </row>
    <row r="70" spans="1:20">
      <c r="A70" s="34">
        <f>'Propeller Sizing'!M41</f>
        <v>0.20319999999999999</v>
      </c>
      <c r="B70" s="34">
        <f>IF(Inputs!$C$9=0,1,MATCH(Inputs!$C$15,P$35:P$63,-1)+1)</f>
        <v>25</v>
      </c>
      <c r="C70" s="34">
        <f>INDEX($P$34:$P$63,$B70)</f>
        <v>8.5773591893333343</v>
      </c>
      <c r="D70" s="34">
        <f>INDEX($P$34:$P$63,$B70+1)</f>
        <v>6.3455005320054338</v>
      </c>
      <c r="E70" s="34">
        <f>INDEX($O$34:$O$63,$B70)</f>
        <v>32.182652958340739</v>
      </c>
      <c r="F70" s="34">
        <f>INDEX($O$34:$O$63,$B70+1)</f>
        <v>26.696888454727773</v>
      </c>
      <c r="G70" s="34">
        <f>E70+ (E70-F70)/(C70-D70)*(Inputs!$C$15-C70)</f>
        <v>27.425665006739397</v>
      </c>
      <c r="H70" s="34">
        <f>INDEX($N$34:$N$63,$B70)</f>
        <v>787.40157480314963</v>
      </c>
      <c r="I70" s="34">
        <f>INDEX($N$34:$N$63,$B70+1)</f>
        <v>753.89512481152633</v>
      </c>
      <c r="J70" s="34">
        <f>H70+ (H70-I70)/(C70-D70)*(Inputs!$C$15-C70)</f>
        <v>758.34641233561945</v>
      </c>
      <c r="K70" s="34">
        <f>A70/0.0254</f>
        <v>8</v>
      </c>
    </row>
    <row r="71" spans="1:20">
      <c r="A71" s="34">
        <f>'Propeller Sizing'!Q41</f>
        <v>0.24129999999999999</v>
      </c>
      <c r="B71" s="34">
        <f>IF(Inputs!$C$9=0,1,MATCH(Inputs!$C$15,T$35:T$63,-1)+1)</f>
        <v>26</v>
      </c>
      <c r="C71" s="34">
        <f>INDEX($T$34:$T$63,$B71)</f>
        <v>8.9481472345857878</v>
      </c>
      <c r="D71" s="34">
        <f>INDEX($T$34:$T$63,$B71+1)</f>
        <v>6.2281360302207416</v>
      </c>
      <c r="E71" s="34">
        <f>INDEX($S$34:$S$63,$B71)</f>
        <v>37.646784109987202</v>
      </c>
      <c r="F71" s="34">
        <f>INDEX($S$34:$S$63,$B71+1)</f>
        <v>31.294082516380087</v>
      </c>
      <c r="G71" s="34">
        <f>E71+ (E71-F71)/(C71-D71)*(Inputs!$C$15-C71)</f>
        <v>32.260679380442269</v>
      </c>
      <c r="H71" s="34">
        <f>INDEX($R$34:$R$63,$B71)</f>
        <v>634.85905247286428</v>
      </c>
      <c r="I71" s="34">
        <f>INDEX($R$34:$R$63,$B71+1)</f>
        <v>608.94643808621674</v>
      </c>
      <c r="J71" s="34">
        <f>H71+ (H71-I71)/(C71-D71)*(Inputs!$C$15-C71)</f>
        <v>612.88917826324496</v>
      </c>
      <c r="K71" s="34">
        <f>A71/0.0254</f>
        <v>9.5</v>
      </c>
    </row>
    <row r="72" spans="1:20">
      <c r="A72" s="64"/>
      <c r="B72" s="95"/>
      <c r="C72" s="95"/>
      <c r="D72" s="95"/>
      <c r="E72" s="95"/>
      <c r="F72" s="95"/>
      <c r="G72" s="64"/>
      <c r="H72" s="95"/>
      <c r="I72" s="95"/>
      <c r="J72" s="64"/>
      <c r="K72" s="65"/>
    </row>
    <row r="73" spans="1:20">
      <c r="A73" s="9" t="s">
        <v>138</v>
      </c>
      <c r="B73" s="95"/>
      <c r="C73" s="95"/>
      <c r="D73" s="95"/>
      <c r="E73" s="95"/>
      <c r="F73" s="95"/>
      <c r="G73" s="64"/>
      <c r="H73" s="95"/>
      <c r="I73" s="95"/>
      <c r="J73" s="64"/>
      <c r="K73" s="65"/>
    </row>
    <row r="75" spans="1:20" s="2" customFormat="1" ht="30.75" customHeight="1">
      <c r="A75" s="32" t="s">
        <v>26</v>
      </c>
      <c r="B75" s="32" t="str">
        <f ca="1">OFFSET(Inputs!$B$25,0,1)</f>
        <v>Maxon 634043</v>
      </c>
      <c r="C75" s="32"/>
      <c r="D75" s="32"/>
      <c r="E75" s="32"/>
      <c r="F75" s="32"/>
      <c r="G75" s="32"/>
      <c r="H75" s="32"/>
      <c r="I75" s="32"/>
      <c r="J75" s="32"/>
      <c r="K75" s="32"/>
      <c r="L75" s="32"/>
      <c r="M75" s="32"/>
      <c r="N75" s="32"/>
      <c r="O75" s="32"/>
      <c r="P75" s="32"/>
      <c r="Q75" s="32"/>
      <c r="R75" s="32"/>
      <c r="S75" s="32"/>
      <c r="T75" s="32"/>
    </row>
    <row r="76" spans="1:20" ht="42" customHeight="1">
      <c r="A76" s="32" t="s">
        <v>15</v>
      </c>
      <c r="B76" s="32" t="s">
        <v>16</v>
      </c>
      <c r="C76" s="32" t="s">
        <v>17</v>
      </c>
      <c r="D76" s="32" t="s">
        <v>18</v>
      </c>
      <c r="E76" s="32" t="s">
        <v>35</v>
      </c>
      <c r="F76" s="32" t="s">
        <v>59</v>
      </c>
      <c r="G76" s="32" t="s">
        <v>58</v>
      </c>
      <c r="H76" s="32" t="s">
        <v>62</v>
      </c>
      <c r="I76" s="32" t="s">
        <v>39</v>
      </c>
      <c r="J76" s="32" t="s">
        <v>69</v>
      </c>
      <c r="K76" s="32" t="s">
        <v>36</v>
      </c>
      <c r="L76" s="32" t="s">
        <v>84</v>
      </c>
      <c r="M76" s="32" t="s">
        <v>33</v>
      </c>
      <c r="N76" s="32" t="s">
        <v>64</v>
      </c>
      <c r="O76" s="32" t="s">
        <v>63</v>
      </c>
      <c r="P76" s="32" t="s">
        <v>65</v>
      </c>
      <c r="Q76" s="32" t="s">
        <v>66</v>
      </c>
      <c r="R76" s="32" t="s">
        <v>28</v>
      </c>
      <c r="S76" s="32" t="s">
        <v>40</v>
      </c>
      <c r="T76" s="32" t="s">
        <v>41</v>
      </c>
    </row>
    <row r="77" spans="1:20">
      <c r="A77" s="7">
        <f ca="1">OFFSET(Inputs!$C$26,0,0)</f>
        <v>83</v>
      </c>
      <c r="B77" s="34">
        <f ca="1">OFFSET(Inputs!$C$26,1,0)</f>
        <v>0.41899999999999998</v>
      </c>
      <c r="C77" s="7">
        <f ca="1">OFFSET(Inputs!$C$26,2,0)</f>
        <v>0.24</v>
      </c>
      <c r="D77" s="7">
        <f ca="1">OFFSET(Inputs!$C$26,3,0)</f>
        <v>1</v>
      </c>
      <c r="E77" s="7">
        <f ca="1">OFFSET(Inputs!$C$26,4,0)</f>
        <v>1</v>
      </c>
      <c r="F77" s="7">
        <f ca="1">OFFSET(Inputs!$C$26,5,0)</f>
        <v>0.9</v>
      </c>
      <c r="G77" s="34">
        <f>A68</f>
        <v>0.127</v>
      </c>
      <c r="H77" s="7">
        <f>J68</f>
        <v>1426.5245780403357</v>
      </c>
      <c r="I77" s="7">
        <f>G68</f>
        <v>20.459104922643483</v>
      </c>
      <c r="J77" s="7">
        <f ca="1">I77/E77</f>
        <v>20.459104922643483</v>
      </c>
      <c r="K77" s="7">
        <f ca="1">H77*D77</f>
        <v>1426.5245780403357</v>
      </c>
      <c r="L77" s="7">
        <f ca="1">K77/A77</f>
        <v>17.187043108919706</v>
      </c>
      <c r="M77" s="7">
        <f ca="1">J77/L77</f>
        <v>1.1903795663388805</v>
      </c>
      <c r="N77" s="7">
        <f ca="1">M77+B77</f>
        <v>1.6093795663388806</v>
      </c>
      <c r="O77" s="7">
        <f ca="1">L77+C77*N77</f>
        <v>17.573294204841037</v>
      </c>
      <c r="P77" s="7">
        <f ca="1">N77*O77</f>
        <v>28.28210060653263</v>
      </c>
      <c r="Q77" s="7">
        <f ca="1">P77/F77</f>
        <v>31.4245562294807</v>
      </c>
      <c r="R77" s="7">
        <f ca="1">J77/P77</f>
        <v>0.72339410736406962</v>
      </c>
      <c r="S77" s="7">
        <f>Inputs!$C$14/I77</f>
        <v>0.38957716039564444</v>
      </c>
      <c r="T77" s="7">
        <f ca="1">E77*S77*R77*F77</f>
        <v>0.25363603997445255</v>
      </c>
    </row>
    <row r="78" spans="1:20">
      <c r="A78" s="7">
        <f ca="1">OFFSET(Inputs!$C$26,0,0)</f>
        <v>83</v>
      </c>
      <c r="B78" s="34">
        <f ca="1">OFFSET(Inputs!$C$26,1,0)</f>
        <v>0.41899999999999998</v>
      </c>
      <c r="C78" s="7">
        <f ca="1">OFFSET(Inputs!$C$26,2,0)</f>
        <v>0.24</v>
      </c>
      <c r="D78" s="7">
        <f ca="1">OFFSET(Inputs!$C$26,3,0)</f>
        <v>1</v>
      </c>
      <c r="E78" s="7">
        <f ca="1">OFFSET(Inputs!$C$26,4,0)</f>
        <v>1</v>
      </c>
      <c r="F78" s="7">
        <f ca="1">OFFSET(Inputs!$C$26,5,0)</f>
        <v>0.9</v>
      </c>
      <c r="G78" s="34">
        <f t="shared" ref="G78:G80" si="0">A69</f>
        <v>0.1651</v>
      </c>
      <c r="H78" s="7">
        <f t="shared" ref="H78:H80" si="1">J69</f>
        <v>995.54267607518966</v>
      </c>
      <c r="I78" s="7">
        <f t="shared" ref="I78:I80" si="2">G69</f>
        <v>23.671515370232349</v>
      </c>
      <c r="J78" s="7">
        <f t="shared" ref="J78:J80" ca="1" si="3">I78/E78</f>
        <v>23.671515370232349</v>
      </c>
      <c r="K78" s="7">
        <f ca="1">H78*D78</f>
        <v>995.54267607518966</v>
      </c>
      <c r="L78" s="7">
        <f ca="1">K78/A78</f>
        <v>11.994490073195056</v>
      </c>
      <c r="M78" s="7">
        <f t="shared" ref="M78:M80" ca="1" si="4">J78/L78</f>
        <v>1.973532449131187</v>
      </c>
      <c r="N78" s="7">
        <f ca="1">M78+B78</f>
        <v>2.392532449131187</v>
      </c>
      <c r="O78" s="7">
        <f ca="1">L78+C78*N78</f>
        <v>12.568697860986541</v>
      </c>
      <c r="P78" s="7">
        <f ca="1">N78*O78</f>
        <v>30.071017475736042</v>
      </c>
      <c r="Q78" s="7">
        <f ca="1">P78/F78</f>
        <v>33.412241639706714</v>
      </c>
      <c r="R78" s="7">
        <f t="shared" ref="R78:R80" ca="1" si="5">J78/P78</f>
        <v>0.78718704444678744</v>
      </c>
      <c r="S78" s="7">
        <f>Inputs!$C$14/I78</f>
        <v>0.33670848170637269</v>
      </c>
      <c r="T78" s="7">
        <f ca="1">E78*S78*R78*F78</f>
        <v>0.23854729909914424</v>
      </c>
    </row>
    <row r="79" spans="1:20">
      <c r="A79" s="7">
        <f ca="1">OFFSET(Inputs!$C$26,0,0)</f>
        <v>83</v>
      </c>
      <c r="B79" s="34">
        <f ca="1">OFFSET(Inputs!$C$26,1,0)</f>
        <v>0.41899999999999998</v>
      </c>
      <c r="C79" s="7">
        <f ca="1">OFFSET(Inputs!$C$26,2,0)</f>
        <v>0.24</v>
      </c>
      <c r="D79" s="7">
        <f ca="1">OFFSET(Inputs!$C$26,3,0)</f>
        <v>1</v>
      </c>
      <c r="E79" s="7">
        <f ca="1">OFFSET(Inputs!$C$26,4,0)</f>
        <v>1</v>
      </c>
      <c r="F79" s="7">
        <f ca="1">OFFSET(Inputs!$C$26,5,0)</f>
        <v>0.9</v>
      </c>
      <c r="G79" s="34">
        <f t="shared" si="0"/>
        <v>0.20319999999999999</v>
      </c>
      <c r="H79" s="7">
        <f t="shared" si="1"/>
        <v>758.34641233561945</v>
      </c>
      <c r="I79" s="7">
        <f t="shared" si="2"/>
        <v>27.425665006739397</v>
      </c>
      <c r="J79" s="7">
        <f t="shared" ca="1" si="3"/>
        <v>27.425665006739397</v>
      </c>
      <c r="K79" s="7">
        <f ca="1">H79*D79</f>
        <v>758.34641233561945</v>
      </c>
      <c r="L79" s="7">
        <f ca="1">K79/A79</f>
        <v>9.136703763079753</v>
      </c>
      <c r="M79" s="7">
        <f ca="1">J79/L79</f>
        <v>3.0017023335661803</v>
      </c>
      <c r="N79" s="7">
        <f ca="1">M79+B79</f>
        <v>3.4207023335661804</v>
      </c>
      <c r="O79" s="7">
        <f ca="1">L79+C79*N79</f>
        <v>9.9576723231356361</v>
      </c>
      <c r="P79" s="7">
        <f ca="1">N79*O79</f>
        <v>34.062232952637437</v>
      </c>
      <c r="Q79" s="7">
        <f ca="1">P79/F79</f>
        <v>37.846925502930482</v>
      </c>
      <c r="R79" s="7">
        <f t="shared" ca="1" si="5"/>
        <v>0.80516345023163927</v>
      </c>
      <c r="S79" s="7">
        <f>Inputs!$C$14/I79</f>
        <v>0.29061829487239077</v>
      </c>
      <c r="T79" s="7">
        <f t="shared" ref="T79:T80" ca="1" si="6">E79*S79*R79*F79</f>
        <v>0.21059570609990105</v>
      </c>
    </row>
    <row r="80" spans="1:20">
      <c r="A80" s="7">
        <f ca="1">OFFSET(Inputs!$C$26,0,0)</f>
        <v>83</v>
      </c>
      <c r="B80" s="34">
        <f ca="1">OFFSET(Inputs!$C$26,1,0)</f>
        <v>0.41899999999999998</v>
      </c>
      <c r="C80" s="7">
        <f ca="1">OFFSET(Inputs!$C$26,2,0)</f>
        <v>0.24</v>
      </c>
      <c r="D80" s="7">
        <f ca="1">OFFSET(Inputs!$C$26,3,0)</f>
        <v>1</v>
      </c>
      <c r="E80" s="7">
        <f ca="1">OFFSET(Inputs!$C$26,4,0)</f>
        <v>1</v>
      </c>
      <c r="F80" s="7">
        <f ca="1">OFFSET(Inputs!$C$26,5,0)</f>
        <v>0.9</v>
      </c>
      <c r="G80" s="34">
        <f t="shared" si="0"/>
        <v>0.24129999999999999</v>
      </c>
      <c r="H80" s="7">
        <f t="shared" si="1"/>
        <v>612.88917826324496</v>
      </c>
      <c r="I80" s="7">
        <f t="shared" si="2"/>
        <v>32.260679380442269</v>
      </c>
      <c r="J80" s="7">
        <f t="shared" ca="1" si="3"/>
        <v>32.260679380442269</v>
      </c>
      <c r="K80" s="7">
        <f ca="1">H80*D80</f>
        <v>612.88917826324496</v>
      </c>
      <c r="L80" s="7">
        <f ca="1">K80/A80</f>
        <v>7.3842069670270476</v>
      </c>
      <c r="M80" s="7">
        <f t="shared" ca="1" si="4"/>
        <v>4.3688752935145221</v>
      </c>
      <c r="N80" s="7">
        <f ca="1">M80+B80</f>
        <v>4.7878752935145217</v>
      </c>
      <c r="O80" s="7">
        <f ca="1">L80+C80*N80</f>
        <v>8.5332970374705326</v>
      </c>
      <c r="P80" s="7">
        <f ca="1">N80*O80</f>
        <v>40.856362057925821</v>
      </c>
      <c r="Q80" s="7">
        <f ca="1">P80/F80</f>
        <v>45.395957842139801</v>
      </c>
      <c r="R80" s="7">
        <f t="shared" ca="1" si="5"/>
        <v>0.78961213763240445</v>
      </c>
      <c r="S80" s="7">
        <f>Inputs!$C$14/I80</f>
        <v>0.24706237292795447</v>
      </c>
      <c r="T80" s="7">
        <f t="shared" ca="1" si="6"/>
        <v>0.17557510357455877</v>
      </c>
    </row>
    <row r="81" spans="1:20">
      <c r="B81" s="9"/>
      <c r="G81" s="9"/>
    </row>
    <row r="82" spans="1:20" ht="30">
      <c r="A82" s="32" t="s">
        <v>26</v>
      </c>
      <c r="B82" s="32" t="str">
        <f ca="1">OFFSET(Inputs!$B$25,0,2)</f>
        <v>Maxon 488607</v>
      </c>
      <c r="C82" s="32"/>
      <c r="D82" s="32"/>
      <c r="E82" s="32"/>
      <c r="F82" s="32"/>
      <c r="G82" s="32"/>
      <c r="H82" s="32"/>
      <c r="I82" s="32"/>
      <c r="J82" s="32"/>
      <c r="K82" s="32"/>
      <c r="L82" s="32"/>
      <c r="M82" s="30"/>
      <c r="N82" s="30"/>
      <c r="O82" s="30"/>
      <c r="P82" s="30"/>
      <c r="Q82" s="30"/>
      <c r="R82" s="30"/>
      <c r="S82" s="30"/>
      <c r="T82" s="30"/>
    </row>
    <row r="83" spans="1:20" ht="42" customHeight="1">
      <c r="A83" s="32" t="s">
        <v>15</v>
      </c>
      <c r="B83" s="32" t="s">
        <v>16</v>
      </c>
      <c r="C83" s="32" t="s">
        <v>17</v>
      </c>
      <c r="D83" s="32" t="s">
        <v>18</v>
      </c>
      <c r="E83" s="32" t="s">
        <v>35</v>
      </c>
      <c r="F83" s="32" t="s">
        <v>59</v>
      </c>
      <c r="G83" s="32" t="s">
        <v>58</v>
      </c>
      <c r="H83" s="32" t="s">
        <v>62</v>
      </c>
      <c r="I83" s="32" t="s">
        <v>39</v>
      </c>
      <c r="J83" s="32" t="s">
        <v>69</v>
      </c>
      <c r="K83" s="32" t="s">
        <v>36</v>
      </c>
      <c r="L83" s="32" t="s">
        <v>84</v>
      </c>
      <c r="M83" s="32" t="s">
        <v>33</v>
      </c>
      <c r="N83" s="32" t="s">
        <v>64</v>
      </c>
      <c r="O83" s="32" t="s">
        <v>63</v>
      </c>
      <c r="P83" s="32" t="s">
        <v>65</v>
      </c>
      <c r="Q83" s="32" t="s">
        <v>66</v>
      </c>
      <c r="R83" s="32" t="s">
        <v>28</v>
      </c>
      <c r="S83" s="32" t="s">
        <v>40</v>
      </c>
      <c r="T83" s="32" t="s">
        <v>41</v>
      </c>
    </row>
    <row r="84" spans="1:20">
      <c r="A84" s="7">
        <f ca="1">OFFSET(Inputs!$D$26,0,0)</f>
        <v>105</v>
      </c>
      <c r="B84" s="34">
        <f ca="1">OFFSET(Inputs!$D$26,1,0)</f>
        <v>0.15</v>
      </c>
      <c r="C84" s="7">
        <f ca="1">OFFSET(Inputs!$D$26,2,0)</f>
        <v>1.01</v>
      </c>
      <c r="D84" s="7">
        <f ca="1">OFFSET(Inputs!$D$26,3,0)</f>
        <v>1</v>
      </c>
      <c r="E84" s="7">
        <f ca="1">OFFSET(Inputs!$D$26,4,0)</f>
        <v>1</v>
      </c>
      <c r="F84" s="7">
        <f ca="1">OFFSET(Inputs!$D$26,5,0)</f>
        <v>0.9</v>
      </c>
      <c r="G84" s="34">
        <f>A68</f>
        <v>0.127</v>
      </c>
      <c r="H84" s="7">
        <f>J68</f>
        <v>1426.5245780403357</v>
      </c>
      <c r="I84" s="7">
        <f>G68</f>
        <v>20.459104922643483</v>
      </c>
      <c r="J84" s="7">
        <f ca="1">I84/E84</f>
        <v>20.459104922643483</v>
      </c>
      <c r="K84" s="7">
        <f ca="1">H84*D84</f>
        <v>1426.5245780403357</v>
      </c>
      <c r="L84" s="7">
        <f ca="1">K84/A84</f>
        <v>13.58594836228891</v>
      </c>
      <c r="M84" s="7">
        <f ca="1">J84/L84</f>
        <v>1.5059018610311139</v>
      </c>
      <c r="N84" s="7">
        <f ca="1">M84+B84</f>
        <v>1.6559018610311138</v>
      </c>
      <c r="O84" s="7">
        <f ca="1">L84+C84*N84</f>
        <v>15.258409241930336</v>
      </c>
      <c r="P84" s="7">
        <f ca="1">N84*O84</f>
        <v>25.266428260086791</v>
      </c>
      <c r="Q84" s="7">
        <f ca="1">P84/F84</f>
        <v>28.07380917787421</v>
      </c>
      <c r="R84" s="7">
        <f ca="1">J84/P84</f>
        <v>0.80973474810298363</v>
      </c>
      <c r="S84" s="7">
        <f>Inputs!$C$14/I84</f>
        <v>0.38957716039564444</v>
      </c>
      <c r="T84" s="7">
        <f ca="1">E84*S84*R84*F84</f>
        <v>0.28390874745567851</v>
      </c>
    </row>
    <row r="85" spans="1:20">
      <c r="A85" s="7">
        <f ca="1">OFFSET(Inputs!$D$26,0,0)</f>
        <v>105</v>
      </c>
      <c r="B85" s="34">
        <f ca="1">OFFSET(Inputs!$D$26,1,0)</f>
        <v>0.15</v>
      </c>
      <c r="C85" s="7">
        <f ca="1">OFFSET(Inputs!$D$26,2,0)</f>
        <v>1.01</v>
      </c>
      <c r="D85" s="7">
        <f ca="1">OFFSET(Inputs!$D$26,3,0)</f>
        <v>1</v>
      </c>
      <c r="E85" s="7">
        <f ca="1">OFFSET(Inputs!$D$26,4,0)</f>
        <v>1</v>
      </c>
      <c r="F85" s="7">
        <f ca="1">OFFSET(Inputs!$D$26,5,0)</f>
        <v>0.9</v>
      </c>
      <c r="G85" s="34">
        <f>'Propeller Sizing'!I55</f>
        <v>0.1651</v>
      </c>
      <c r="H85" s="7">
        <f t="shared" ref="H85:H87" si="7">J69</f>
        <v>995.54267607518966</v>
      </c>
      <c r="I85" s="7">
        <f t="shared" ref="I85:I87" si="8">G69</f>
        <v>23.671515370232349</v>
      </c>
      <c r="J85" s="7">
        <f t="shared" ref="J85:J87" ca="1" si="9">I85/E85</f>
        <v>23.671515370232349</v>
      </c>
      <c r="K85" s="7">
        <f ca="1">H85*D85</f>
        <v>995.54267607518966</v>
      </c>
      <c r="L85" s="7">
        <f ca="1">K85/A85</f>
        <v>9.4813588197637113</v>
      </c>
      <c r="M85" s="7">
        <f t="shared" ref="M85:M87" ca="1" si="10">J85/L85</f>
        <v>2.4966374356478869</v>
      </c>
      <c r="N85" s="7">
        <f ca="1">M85+B85</f>
        <v>2.6466374356478868</v>
      </c>
      <c r="O85" s="7">
        <f ca="1">L85+C85*N85</f>
        <v>12.154462629768076</v>
      </c>
      <c r="P85" s="7">
        <f ca="1">N85*O85</f>
        <v>32.168455806127454</v>
      </c>
      <c r="Q85" s="7">
        <f ca="1">P85/F85</f>
        <v>35.74272867347495</v>
      </c>
      <c r="R85" s="7">
        <f t="shared" ref="R85:R87" ca="1" si="11">J85/P85</f>
        <v>0.73586110296669549</v>
      </c>
      <c r="S85" s="7">
        <f>Inputs!$C$14/I85</f>
        <v>0.33670848170637269</v>
      </c>
      <c r="T85" s="7">
        <f ca="1">E85*S85*R85*F85</f>
        <v>0.22299360725402353</v>
      </c>
    </row>
    <row r="86" spans="1:20">
      <c r="A86" s="7">
        <f ca="1">OFFSET(Inputs!$D$26,0,0)</f>
        <v>105</v>
      </c>
      <c r="B86" s="34">
        <f ca="1">OFFSET(Inputs!$D$26,1,0)</f>
        <v>0.15</v>
      </c>
      <c r="C86" s="7">
        <f ca="1">OFFSET(Inputs!$D$26,2,0)</f>
        <v>1.01</v>
      </c>
      <c r="D86" s="7">
        <f ca="1">OFFSET(Inputs!$D$26,3,0)</f>
        <v>1</v>
      </c>
      <c r="E86" s="7">
        <f ca="1">OFFSET(Inputs!$D$26,4,0)</f>
        <v>1</v>
      </c>
      <c r="F86" s="7">
        <f ca="1">OFFSET(Inputs!$D$26,5,0)</f>
        <v>0.9</v>
      </c>
      <c r="G86" s="34">
        <f>'Propeller Sizing'!M55</f>
        <v>0.20319999999999999</v>
      </c>
      <c r="H86" s="7">
        <f t="shared" si="7"/>
        <v>758.34641233561945</v>
      </c>
      <c r="I86" s="7">
        <f t="shared" si="8"/>
        <v>27.425665006739397</v>
      </c>
      <c r="J86" s="7">
        <f t="shared" ca="1" si="9"/>
        <v>27.425665006739397</v>
      </c>
      <c r="K86" s="7">
        <f ca="1">H86*D86</f>
        <v>758.34641233561945</v>
      </c>
      <c r="L86" s="7">
        <f ca="1">K86/A86</f>
        <v>7.2223467841487565</v>
      </c>
      <c r="M86" s="7">
        <f t="shared" ca="1" si="10"/>
        <v>3.7973342774029999</v>
      </c>
      <c r="N86" s="7">
        <f ca="1">M86+B86</f>
        <v>3.9473342774029998</v>
      </c>
      <c r="O86" s="7">
        <f ca="1">L86+C86*N86</f>
        <v>11.209154404325787</v>
      </c>
      <c r="P86" s="7">
        <f ca="1">N86*O86</f>
        <v>44.246279400897983</v>
      </c>
      <c r="Q86" s="7">
        <f ca="1">P86/F86</f>
        <v>49.162532667664422</v>
      </c>
      <c r="R86" s="7">
        <f t="shared" ca="1" si="11"/>
        <v>0.61984115677267071</v>
      </c>
      <c r="S86" s="7">
        <f>Inputs!$C$14/I86</f>
        <v>0.29061829487239077</v>
      </c>
      <c r="T86" s="7">
        <f t="shared" ref="T86:T87" ca="1" si="12">E86*S86*R86*F86</f>
        <v>0.16212346206570344</v>
      </c>
    </row>
    <row r="87" spans="1:20">
      <c r="A87" s="7">
        <f ca="1">OFFSET(Inputs!$D$26,0,0)</f>
        <v>105</v>
      </c>
      <c r="B87" s="34">
        <f ca="1">OFFSET(Inputs!$D$26,1,0)</f>
        <v>0.15</v>
      </c>
      <c r="C87" s="7">
        <f ca="1">OFFSET(Inputs!$D$26,2,0)</f>
        <v>1.01</v>
      </c>
      <c r="D87" s="7">
        <f ca="1">OFFSET(Inputs!$D$26,3,0)</f>
        <v>1</v>
      </c>
      <c r="E87" s="7">
        <f ca="1">OFFSET(Inputs!$D$26,4,0)</f>
        <v>1</v>
      </c>
      <c r="F87" s="7">
        <f ca="1">OFFSET(Inputs!$D$26,5,0)</f>
        <v>0.9</v>
      </c>
      <c r="G87" s="34">
        <f>'Propeller Sizing'!Q55</f>
        <v>0.24129999999999999</v>
      </c>
      <c r="H87" s="7">
        <f t="shared" si="7"/>
        <v>612.88917826324496</v>
      </c>
      <c r="I87" s="7">
        <f t="shared" si="8"/>
        <v>32.260679380442269</v>
      </c>
      <c r="J87" s="7">
        <f t="shared" ca="1" si="9"/>
        <v>32.260679380442269</v>
      </c>
      <c r="K87" s="7">
        <f ca="1">H87*D87</f>
        <v>612.88917826324496</v>
      </c>
      <c r="L87" s="7">
        <f ca="1">K87/A87</f>
        <v>5.8370397929832851</v>
      </c>
      <c r="M87" s="7">
        <f t="shared" ca="1" si="10"/>
        <v>5.5268904315545155</v>
      </c>
      <c r="N87" s="7">
        <f ca="1">M87+B87</f>
        <v>5.6768904315545159</v>
      </c>
      <c r="O87" s="7">
        <f ca="1">L87+C87*N87</f>
        <v>11.570699128853345</v>
      </c>
      <c r="P87" s="7">
        <f ca="1">N87*O87</f>
        <v>65.685591170983727</v>
      </c>
      <c r="Q87" s="7">
        <f ca="1">P87/F87</f>
        <v>72.983990189981924</v>
      </c>
      <c r="R87" s="7">
        <f t="shared" ca="1" si="11"/>
        <v>0.49113784020708118</v>
      </c>
      <c r="S87" s="7">
        <f>Inputs!$C$14/I87</f>
        <v>0.24706237292795447</v>
      </c>
      <c r="T87" s="7">
        <f t="shared" ca="1" si="12"/>
        <v>0.1092075122126448</v>
      </c>
    </row>
    <row r="88" spans="1:20">
      <c r="B88" s="9"/>
      <c r="G88" s="9"/>
    </row>
    <row r="89" spans="1:20" ht="30">
      <c r="A89" s="32" t="s">
        <v>26</v>
      </c>
      <c r="B89" s="32" t="str">
        <f ca="1">OFFSET(Inputs!$B$25,0,3)</f>
        <v>Cobra CM-4510-40</v>
      </c>
      <c r="C89" s="32"/>
      <c r="D89" s="32"/>
      <c r="E89" s="32"/>
      <c r="F89" s="32"/>
      <c r="G89" s="32"/>
      <c r="H89" s="32"/>
      <c r="I89" s="32"/>
      <c r="J89" s="32"/>
      <c r="K89" s="32"/>
      <c r="L89" s="32"/>
      <c r="M89" s="30"/>
      <c r="N89" s="30"/>
      <c r="O89" s="30"/>
      <c r="P89" s="30"/>
      <c r="Q89" s="30"/>
      <c r="R89" s="30"/>
      <c r="S89" s="30"/>
      <c r="T89" s="30"/>
    </row>
    <row r="90" spans="1:20" ht="42" customHeight="1">
      <c r="A90" s="32" t="s">
        <v>15</v>
      </c>
      <c r="B90" s="32" t="s">
        <v>16</v>
      </c>
      <c r="C90" s="32" t="s">
        <v>17</v>
      </c>
      <c r="D90" s="32" t="s">
        <v>18</v>
      </c>
      <c r="E90" s="32" t="s">
        <v>35</v>
      </c>
      <c r="F90" s="32" t="s">
        <v>59</v>
      </c>
      <c r="G90" s="32" t="s">
        <v>58</v>
      </c>
      <c r="H90" s="32" t="s">
        <v>62</v>
      </c>
      <c r="I90" s="32" t="s">
        <v>39</v>
      </c>
      <c r="J90" s="32" t="s">
        <v>69</v>
      </c>
      <c r="K90" s="32" t="s">
        <v>36</v>
      </c>
      <c r="L90" s="32" t="s">
        <v>84</v>
      </c>
      <c r="M90" s="32" t="s">
        <v>33</v>
      </c>
      <c r="N90" s="32" t="s">
        <v>64</v>
      </c>
      <c r="O90" s="32" t="s">
        <v>63</v>
      </c>
      <c r="P90" s="32" t="s">
        <v>65</v>
      </c>
      <c r="Q90" s="32" t="s">
        <v>66</v>
      </c>
      <c r="R90" s="32" t="s">
        <v>28</v>
      </c>
      <c r="S90" s="32" t="s">
        <v>40</v>
      </c>
      <c r="T90" s="32" t="s">
        <v>41</v>
      </c>
    </row>
    <row r="91" spans="1:20">
      <c r="A91" s="7">
        <f ca="1">OFFSET(Inputs!$E$26,0,0)</f>
        <v>310</v>
      </c>
      <c r="B91" s="7">
        <f ca="1">OFFSET(Inputs!$E$26,1,0)</f>
        <v>0.31</v>
      </c>
      <c r="C91" s="7">
        <f ca="1">OFFSET(Inputs!$E$26,2,0)</f>
        <v>0.17</v>
      </c>
      <c r="D91" s="7">
        <f ca="1">OFFSET(Inputs!$E$26,3,0)</f>
        <v>1</v>
      </c>
      <c r="E91" s="7">
        <f ca="1">OFFSET(Inputs!$E$26,4,0)</f>
        <v>1</v>
      </c>
      <c r="F91" s="7">
        <f ca="1">OFFSET(Inputs!$E$26,5,0)</f>
        <v>0.9</v>
      </c>
      <c r="G91" s="34">
        <f>A68</f>
        <v>0.127</v>
      </c>
      <c r="H91" s="7">
        <f>J68</f>
        <v>1426.5245780403357</v>
      </c>
      <c r="I91" s="7">
        <f>G68</f>
        <v>20.459104922643483</v>
      </c>
      <c r="J91" s="7">
        <f ca="1">I91/E91</f>
        <v>20.459104922643483</v>
      </c>
      <c r="K91" s="7">
        <f ca="1">H91*D91</f>
        <v>1426.5245780403357</v>
      </c>
      <c r="L91" s="7">
        <f ca="1">K91/A91</f>
        <v>4.601692187226889</v>
      </c>
      <c r="M91" s="7">
        <f ca="1">J91/L91</f>
        <v>4.4459959706632883</v>
      </c>
      <c r="N91" s="7">
        <f ca="1">M91+B91</f>
        <v>4.7559959706632879</v>
      </c>
      <c r="O91" s="7">
        <f ca="1">L91+C91*N91</f>
        <v>5.4102115022396475</v>
      </c>
      <c r="P91" s="7">
        <f ca="1">N91*O91</f>
        <v>25.730944105087939</v>
      </c>
      <c r="Q91" s="7">
        <f ca="1">P91/F91</f>
        <v>28.589937894542153</v>
      </c>
      <c r="R91" s="7">
        <f ca="1">J91/P91</f>
        <v>0.79511676054661273</v>
      </c>
      <c r="S91" s="7">
        <f>Inputs!$C$14/I91</f>
        <v>0.38957716039564444</v>
      </c>
      <c r="T91" s="7">
        <f ca="1">E91*S91*R91*F91</f>
        <v>0.27878339678105968</v>
      </c>
    </row>
    <row r="92" spans="1:20">
      <c r="A92" s="7">
        <f ca="1">OFFSET(Inputs!$E$26,0,0)</f>
        <v>310</v>
      </c>
      <c r="B92" s="7">
        <f ca="1">OFFSET(Inputs!$E$26,1,0)</f>
        <v>0.31</v>
      </c>
      <c r="C92" s="7">
        <f ca="1">OFFSET(Inputs!$E$26,2,0)</f>
        <v>0.17</v>
      </c>
      <c r="D92" s="7">
        <f ca="1">OFFSET(Inputs!$E$26,3,0)</f>
        <v>1</v>
      </c>
      <c r="E92" s="7">
        <f ca="1">OFFSET(Inputs!$E$26,4,0)</f>
        <v>1</v>
      </c>
      <c r="F92" s="7">
        <f ca="1">OFFSET(Inputs!$E$26,5,0)</f>
        <v>0.9</v>
      </c>
      <c r="G92" s="34">
        <f t="shared" ref="G92:G94" si="13">A69</f>
        <v>0.1651</v>
      </c>
      <c r="H92" s="7">
        <f t="shared" ref="H92:H94" si="14">J69</f>
        <v>995.54267607518966</v>
      </c>
      <c r="I92" s="7">
        <f t="shared" ref="I92:I94" si="15">G69</f>
        <v>23.671515370232349</v>
      </c>
      <c r="J92" s="7">
        <f t="shared" ref="J92:J94" ca="1" si="16">I92/E92</f>
        <v>23.671515370232349</v>
      </c>
      <c r="K92" s="7">
        <f ca="1">H92*D92</f>
        <v>995.54267607518966</v>
      </c>
      <c r="L92" s="7">
        <f ca="1">K92/A92</f>
        <v>3.2114279873393214</v>
      </c>
      <c r="M92" s="7">
        <f t="shared" ref="M92:M94" ca="1" si="17">J92/L92</f>
        <v>7.3710248100080475</v>
      </c>
      <c r="N92" s="7">
        <f ca="1">M92+B92</f>
        <v>7.6810248100080472</v>
      </c>
      <c r="O92" s="7">
        <f ca="1">L92+C92*N92</f>
        <v>4.5172022050406895</v>
      </c>
      <c r="P92" s="7">
        <f ca="1">N92*O92</f>
        <v>34.696742208740595</v>
      </c>
      <c r="Q92" s="7">
        <f ca="1">P92/F92</f>
        <v>38.551935787489548</v>
      </c>
      <c r="R92" s="7">
        <f t="shared" ref="R92:R94" ca="1" si="18">J92/P92</f>
        <v>0.68224028722411767</v>
      </c>
      <c r="S92" s="7">
        <f>Inputs!$C$14/I92</f>
        <v>0.33670848170637269</v>
      </c>
      <c r="T92" s="7">
        <f ca="1">E92*S92*R92*F92</f>
        <v>0.20674448214313704</v>
      </c>
    </row>
    <row r="93" spans="1:20">
      <c r="A93" s="7">
        <f ca="1">OFFSET(Inputs!$E$26,0,0)</f>
        <v>310</v>
      </c>
      <c r="B93" s="7">
        <f ca="1">OFFSET(Inputs!$E$26,1,0)</f>
        <v>0.31</v>
      </c>
      <c r="C93" s="7">
        <f ca="1">OFFSET(Inputs!$E$26,2,0)</f>
        <v>0.17</v>
      </c>
      <c r="D93" s="7">
        <f ca="1">OFFSET(Inputs!$E$26,3,0)</f>
        <v>1</v>
      </c>
      <c r="E93" s="7">
        <f ca="1">OFFSET(Inputs!$E$26,4,0)</f>
        <v>1</v>
      </c>
      <c r="F93" s="7">
        <f ca="1">OFFSET(Inputs!$E$26,5,0)</f>
        <v>0.9</v>
      </c>
      <c r="G93" s="34">
        <f t="shared" si="13"/>
        <v>0.20319999999999999</v>
      </c>
      <c r="H93" s="7">
        <f t="shared" si="14"/>
        <v>758.34641233561945</v>
      </c>
      <c r="I93" s="7">
        <f t="shared" si="15"/>
        <v>27.425665006739397</v>
      </c>
      <c r="J93" s="7">
        <f t="shared" ca="1" si="16"/>
        <v>27.425665006739397</v>
      </c>
      <c r="K93" s="7">
        <f ca="1">H93*D93</f>
        <v>758.34641233561945</v>
      </c>
      <c r="L93" s="7">
        <f ca="1">K93/A93</f>
        <v>2.44627874946974</v>
      </c>
      <c r="M93" s="7">
        <f t="shared" ca="1" si="17"/>
        <v>11.211177390427904</v>
      </c>
      <c r="N93" s="7">
        <f ca="1">M93+B93</f>
        <v>11.521177390427905</v>
      </c>
      <c r="O93" s="7">
        <f ca="1">L93+C93*N93</f>
        <v>4.4048789058424838</v>
      </c>
      <c r="P93" s="7">
        <f ca="1">N93*O93</f>
        <v>50.749391257565229</v>
      </c>
      <c r="Q93" s="7">
        <f ca="1">P93/F93</f>
        <v>56.388212508405807</v>
      </c>
      <c r="R93" s="7">
        <f t="shared" ca="1" si="18"/>
        <v>0.54041367447242128</v>
      </c>
      <c r="S93" s="7">
        <f>Inputs!$C$14/I93</f>
        <v>0.29061829487239077</v>
      </c>
      <c r="T93" s="7">
        <f t="shared" ref="T93:T94" ca="1" si="19">E93*S93*R93*F93</f>
        <v>0.14134869054080851</v>
      </c>
    </row>
    <row r="94" spans="1:20">
      <c r="A94" s="7">
        <f ca="1">OFFSET(Inputs!$E$26,0,0)</f>
        <v>310</v>
      </c>
      <c r="B94" s="7">
        <f ca="1">OFFSET(Inputs!$E$26,1,0)</f>
        <v>0.31</v>
      </c>
      <c r="C94" s="7">
        <f ca="1">OFFSET(Inputs!$E$26,2,0)</f>
        <v>0.17</v>
      </c>
      <c r="D94" s="7">
        <f ca="1">OFFSET(Inputs!$E$26,3,0)</f>
        <v>1</v>
      </c>
      <c r="E94" s="7">
        <f ca="1">OFFSET(Inputs!$E$26,4,0)</f>
        <v>1</v>
      </c>
      <c r="F94" s="7">
        <f ca="1">OFFSET(Inputs!$E$26,5,0)</f>
        <v>0.9</v>
      </c>
      <c r="G94" s="34">
        <f t="shared" si="13"/>
        <v>0.24129999999999999</v>
      </c>
      <c r="H94" s="7">
        <f t="shared" si="14"/>
        <v>612.88917826324496</v>
      </c>
      <c r="I94" s="7">
        <f t="shared" si="15"/>
        <v>32.260679380442269</v>
      </c>
      <c r="J94" s="7">
        <f t="shared" ca="1" si="16"/>
        <v>32.260679380442269</v>
      </c>
      <c r="K94" s="7">
        <f ca="1">H94*D94</f>
        <v>612.88917826324496</v>
      </c>
      <c r="L94" s="7">
        <f ca="1">K94/A94</f>
        <v>1.9770618653653063</v>
      </c>
      <c r="M94" s="7">
        <f t="shared" ca="1" si="17"/>
        <v>16.317486036018092</v>
      </c>
      <c r="N94" s="7">
        <f ca="1">M94+B94</f>
        <v>16.627486036018091</v>
      </c>
      <c r="O94" s="7">
        <f ca="1">L94+C94*N94</f>
        <v>4.8037344914883819</v>
      </c>
      <c r="P94" s="7">
        <f ca="1">N94*O94</f>
        <v>79.874028177961534</v>
      </c>
      <c r="Q94" s="7">
        <f ca="1">P94/F94</f>
        <v>88.748920197735032</v>
      </c>
      <c r="R94" s="7">
        <f t="shared" ca="1" si="18"/>
        <v>0.40389448380598242</v>
      </c>
      <c r="S94" s="7">
        <f>Inputs!$C$14/I94</f>
        <v>0.24706237292795447</v>
      </c>
      <c r="T94" s="7">
        <f t="shared" ca="1" si="19"/>
        <v>8.9808416623455567E-2</v>
      </c>
    </row>
  </sheetData>
  <mergeCells count="1">
    <mergeCell ref="B1:K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83CE3-2849-4020-A48F-1D72005C1228}">
  <dimension ref="A1:AA179"/>
  <sheetViews>
    <sheetView workbookViewId="0">
      <selection activeCell="V1" sqref="V1"/>
    </sheetView>
  </sheetViews>
  <sheetFormatPr defaultRowHeight="15"/>
  <cols>
    <col min="1" max="1" width="14.5703125" customWidth="1"/>
    <col min="2" max="2" width="11.5703125" bestFit="1" customWidth="1"/>
  </cols>
  <sheetData>
    <row r="1" spans="1:17" ht="224.25" customHeight="1">
      <c r="A1" s="77" t="s">
        <v>105</v>
      </c>
      <c r="B1" s="122" t="s">
        <v>141</v>
      </c>
      <c r="C1" s="122"/>
      <c r="D1" s="122"/>
      <c r="E1" s="122"/>
      <c r="F1" s="122"/>
      <c r="G1" s="122"/>
      <c r="H1" s="122"/>
      <c r="I1" s="122"/>
      <c r="J1" s="122"/>
      <c r="K1" s="122"/>
      <c r="L1" s="122"/>
      <c r="M1" s="122"/>
      <c r="N1" s="122"/>
      <c r="O1" s="122"/>
      <c r="P1" s="122"/>
      <c r="Q1" s="122"/>
    </row>
    <row r="2" spans="1:17">
      <c r="A2" s="80"/>
      <c r="B2" s="81"/>
      <c r="C2" s="81"/>
      <c r="D2" s="81"/>
      <c r="E2" s="81"/>
      <c r="F2" s="81"/>
      <c r="G2" s="81"/>
      <c r="H2" s="81"/>
      <c r="I2" s="81"/>
      <c r="J2" s="81"/>
      <c r="K2" s="81"/>
    </row>
    <row r="3" spans="1:17">
      <c r="A3" s="80"/>
      <c r="B3" s="81"/>
      <c r="C3" s="81"/>
      <c r="D3" s="81"/>
      <c r="E3" s="81"/>
      <c r="F3" s="81"/>
      <c r="G3" s="81"/>
      <c r="H3" s="81"/>
      <c r="I3" s="81"/>
      <c r="J3" s="81"/>
      <c r="K3" s="81"/>
    </row>
    <row r="4" spans="1:17" ht="30" customHeight="1">
      <c r="A4" s="4" t="s">
        <v>71</v>
      </c>
      <c r="B4" s="31">
        <f>9*0.0254</f>
        <v>0.2286</v>
      </c>
      <c r="C4" s="9" t="s">
        <v>20</v>
      </c>
      <c r="D4" s="91">
        <f>B4/0.0254</f>
        <v>9</v>
      </c>
      <c r="E4" s="9" t="s">
        <v>32</v>
      </c>
    </row>
    <row r="5" spans="1:17">
      <c r="A5" s="5"/>
      <c r="B5" s="29"/>
    </row>
    <row r="6" spans="1:17">
      <c r="A6" s="5" t="s">
        <v>72</v>
      </c>
      <c r="B6" s="103">
        <v>0</v>
      </c>
      <c r="C6" t="s">
        <v>1</v>
      </c>
      <c r="D6" t="s">
        <v>129</v>
      </c>
    </row>
    <row r="7" spans="1:17">
      <c r="A7" s="5"/>
      <c r="B7" s="90">
        <v>0.5</v>
      </c>
      <c r="C7" t="s">
        <v>1</v>
      </c>
    </row>
    <row r="8" spans="1:17">
      <c r="A8" s="5"/>
      <c r="B8" s="90">
        <v>1</v>
      </c>
      <c r="C8" t="s">
        <v>1</v>
      </c>
    </row>
    <row r="9" spans="1:17">
      <c r="A9" s="5"/>
      <c r="B9" s="90">
        <v>1.5</v>
      </c>
      <c r="C9" t="s">
        <v>1</v>
      </c>
    </row>
    <row r="10" spans="1:17">
      <c r="A10" s="5"/>
      <c r="B10" s="90">
        <v>2</v>
      </c>
      <c r="C10" t="s">
        <v>1</v>
      </c>
    </row>
    <row r="11" spans="1:17">
      <c r="A11" s="5"/>
      <c r="B11" s="90">
        <v>2.5</v>
      </c>
      <c r="C11" t="s">
        <v>1</v>
      </c>
    </row>
    <row r="12" spans="1:17">
      <c r="A12" s="5"/>
      <c r="B12" s="90">
        <v>3</v>
      </c>
      <c r="C12" t="s">
        <v>1</v>
      </c>
    </row>
    <row r="13" spans="1:17">
      <c r="A13" s="5"/>
      <c r="B13" s="29"/>
    </row>
    <row r="14" spans="1:17">
      <c r="A14" s="5"/>
      <c r="B14" s="5"/>
    </row>
    <row r="15" spans="1:17" ht="30" customHeight="1">
      <c r="A15" s="30" t="str">
        <f>Inputs!B25</f>
        <v>Motor name</v>
      </c>
      <c r="B15" s="32" t="str">
        <f>Inputs!C25</f>
        <v>Maxon 634043</v>
      </c>
    </row>
    <row r="16" spans="1:17">
      <c r="A16" s="34" t="str">
        <f>Inputs!B26</f>
        <v>Speed constant Kv</v>
      </c>
      <c r="B16" s="34">
        <f>Inputs!C26</f>
        <v>83</v>
      </c>
    </row>
    <row r="17" spans="1:26">
      <c r="A17" s="34" t="str">
        <f>Inputs!B27</f>
        <v>No-load current I0</v>
      </c>
      <c r="B17" s="34">
        <f>Inputs!C27</f>
        <v>0.41899999999999998</v>
      </c>
    </row>
    <row r="18" spans="1:26">
      <c r="A18" s="34" t="str">
        <f>Inputs!B28</f>
        <v>Winding Resistance Rm</v>
      </c>
      <c r="B18" s="34">
        <f>Inputs!C28</f>
        <v>0.24</v>
      </c>
    </row>
    <row r="19" spans="1:26">
      <c r="A19" s="34" t="str">
        <f>Inputs!B29</f>
        <v>gear ratio</v>
      </c>
      <c r="B19" s="34">
        <f>Inputs!C29</f>
        <v>1</v>
      </c>
    </row>
    <row r="20" spans="1:26">
      <c r="A20" s="34" t="str">
        <f>Inputs!B30</f>
        <v>gearbox efficiency</v>
      </c>
      <c r="B20" s="34">
        <f>Inputs!C30</f>
        <v>1</v>
      </c>
    </row>
    <row r="21" spans="1:26">
      <c r="A21" s="34" t="str">
        <f>Inputs!B31</f>
        <v>ESC efficiency</v>
      </c>
      <c r="B21" s="34">
        <f>Inputs!C31</f>
        <v>0.9</v>
      </c>
    </row>
    <row r="22" spans="1:26">
      <c r="A22" s="64"/>
      <c r="B22" s="64"/>
    </row>
    <row r="23" spans="1:26">
      <c r="A23" s="95" t="s">
        <v>146</v>
      </c>
      <c r="B23" s="95" t="str">
        <f>_xlfn.CONCAT("Power Draw, ", TEXT(B15,""),", ",'Propeller Data'!$B$4, ", D = ", TEXT(B4,"0.00")," m")</f>
        <v>Power Draw, Maxon 634043, APC 9x3, D = 0.23 m</v>
      </c>
    </row>
    <row r="24" spans="1:26">
      <c r="A24" s="64"/>
      <c r="B24" s="64"/>
    </row>
    <row r="25" spans="1:26">
      <c r="A25" s="64"/>
      <c r="B25" s="64"/>
    </row>
    <row r="26" spans="1:26">
      <c r="A26" s="64"/>
      <c r="B26" s="64"/>
    </row>
    <row r="27" spans="1:26">
      <c r="A27" s="64"/>
      <c r="B27" s="64"/>
    </row>
    <row r="28" spans="1:26">
      <c r="A28" s="64"/>
      <c r="B28" s="64"/>
    </row>
    <row r="29" spans="1:26">
      <c r="A29" s="8" t="s">
        <v>139</v>
      </c>
      <c r="B29" s="64"/>
    </row>
    <row r="30" spans="1:26" ht="15.75" thickBot="1">
      <c r="A30" s="64"/>
      <c r="B30" s="64"/>
    </row>
    <row r="31" spans="1:26" ht="15.75" thickBot="1">
      <c r="A31" s="9" t="s">
        <v>127</v>
      </c>
      <c r="B31" s="5"/>
      <c r="F31" s="129" t="s">
        <v>126</v>
      </c>
      <c r="G31" s="130"/>
      <c r="H31" s="130"/>
      <c r="I31" s="130"/>
      <c r="J31" s="130"/>
      <c r="K31" s="130"/>
      <c r="L31" s="130"/>
      <c r="M31" s="130"/>
      <c r="N31" s="130"/>
      <c r="O31" s="130"/>
      <c r="P31" s="130"/>
      <c r="Q31" s="130"/>
      <c r="R31" s="130"/>
      <c r="S31" s="130"/>
      <c r="T31" s="130"/>
      <c r="U31" s="130"/>
      <c r="V31" s="130"/>
      <c r="W31" s="130"/>
      <c r="X31" s="130"/>
      <c r="Y31" s="130"/>
      <c r="Z31" s="131"/>
    </row>
    <row r="32" spans="1:26" ht="30.6" customHeight="1" thickBot="1">
      <c r="A32" s="126" t="s">
        <v>25</v>
      </c>
      <c r="B32" s="127"/>
      <c r="C32" s="127"/>
      <c r="D32" s="128"/>
      <c r="E32" s="85"/>
      <c r="F32" s="132" t="s">
        <v>128</v>
      </c>
      <c r="G32" s="133"/>
      <c r="H32" s="134"/>
      <c r="I32" s="132">
        <f>B7</f>
        <v>0.5</v>
      </c>
      <c r="J32" s="133"/>
      <c r="K32" s="134"/>
      <c r="L32" s="132">
        <f>B8</f>
        <v>1</v>
      </c>
      <c r="M32" s="133"/>
      <c r="N32" s="134"/>
      <c r="O32" s="132">
        <f>B9</f>
        <v>1.5</v>
      </c>
      <c r="P32" s="133"/>
      <c r="Q32" s="134"/>
      <c r="R32" s="132">
        <f>B10</f>
        <v>2</v>
      </c>
      <c r="S32" s="133"/>
      <c r="T32" s="134"/>
      <c r="U32" s="132">
        <f>B11</f>
        <v>2.5</v>
      </c>
      <c r="V32" s="133"/>
      <c r="W32" s="134"/>
      <c r="X32" s="132">
        <f>B12</f>
        <v>3</v>
      </c>
      <c r="Y32" s="133"/>
      <c r="Z32" s="134"/>
    </row>
    <row r="33" spans="1:26" s="2" customFormat="1" ht="60" customHeight="1">
      <c r="A33" s="86" t="s">
        <v>22</v>
      </c>
      <c r="B33" s="87" t="s">
        <v>23</v>
      </c>
      <c r="C33" s="87" t="s">
        <v>24</v>
      </c>
      <c r="D33" s="88" t="s">
        <v>19</v>
      </c>
      <c r="E33" s="89" t="s">
        <v>44</v>
      </c>
      <c r="F33" s="114" t="s">
        <v>45</v>
      </c>
      <c r="G33" s="115" t="s">
        <v>135</v>
      </c>
      <c r="H33" s="116" t="s">
        <v>42</v>
      </c>
      <c r="I33" s="114" t="s">
        <v>45</v>
      </c>
      <c r="J33" s="115" t="s">
        <v>135</v>
      </c>
      <c r="K33" s="116" t="s">
        <v>42</v>
      </c>
      <c r="L33" s="114" t="s">
        <v>45</v>
      </c>
      <c r="M33" s="115" t="s">
        <v>135</v>
      </c>
      <c r="N33" s="116" t="s">
        <v>42</v>
      </c>
      <c r="O33" s="114" t="s">
        <v>45</v>
      </c>
      <c r="P33" s="115" t="s">
        <v>135</v>
      </c>
      <c r="Q33" s="116" t="s">
        <v>42</v>
      </c>
      <c r="R33" s="114" t="s">
        <v>45</v>
      </c>
      <c r="S33" s="115" t="s">
        <v>135</v>
      </c>
      <c r="T33" s="116" t="s">
        <v>42</v>
      </c>
      <c r="U33" s="114" t="s">
        <v>45</v>
      </c>
      <c r="V33" s="115" t="s">
        <v>135</v>
      </c>
      <c r="W33" s="116" t="s">
        <v>42</v>
      </c>
      <c r="X33" s="114" t="s">
        <v>45</v>
      </c>
      <c r="Y33" s="115" t="s">
        <v>135</v>
      </c>
      <c r="Z33" s="116" t="s">
        <v>42</v>
      </c>
    </row>
    <row r="34" spans="1:26">
      <c r="A34" s="16">
        <f>'Propeller Data'!A10</f>
        <v>0</v>
      </c>
      <c r="B34" s="7">
        <f>'Propeller Data'!B10</f>
        <v>0.106</v>
      </c>
      <c r="C34" s="7">
        <f>'Propeller Data'!C10</f>
        <v>6.7199999999999996E-2</v>
      </c>
      <c r="D34" s="17">
        <f>'Propeller Sizing'!D34</f>
        <v>0</v>
      </c>
      <c r="E34" s="27">
        <f>$B$4</f>
        <v>0.2286</v>
      </c>
      <c r="F34" s="21">
        <v>2900</v>
      </c>
      <c r="G34" s="7">
        <f>Inputs!$C$6*(F34/60)^3*$E34^5*$C$34</f>
        <v>4855.2825815760298</v>
      </c>
      <c r="H34" s="17">
        <f>Inputs!$C$6*(F34/60)^2*$E34^4*$B$34</f>
        <v>693.15144018508897</v>
      </c>
      <c r="I34" s="16">
        <f>I35+100</f>
        <v>6661.6797900262472</v>
      </c>
      <c r="J34" s="7">
        <f>Inputs!$C$6*(I34/60)^3*$E34^5*$C34</f>
        <v>58853.429879594005</v>
      </c>
      <c r="K34" s="17">
        <f>Inputs!$C$6*(I34/60)^2*$E34^4*$B34</f>
        <v>3657.6289064402345</v>
      </c>
      <c r="L34" s="16">
        <f>L35+100</f>
        <v>13223.359580052494</v>
      </c>
      <c r="M34" s="7">
        <f>Inputs!$C$6*(L34/60)^3*$E34^5*$C34</f>
        <v>460305.26341935736</v>
      </c>
      <c r="N34" s="17">
        <f>Inputs!$C$6*(L34/60)^2*$E34^4*$B34</f>
        <v>14411.717806283938</v>
      </c>
      <c r="O34" s="16">
        <f>O35+100</f>
        <v>19785.039370078743</v>
      </c>
      <c r="P34" s="7">
        <f>Inputs!$C$6*(O34/60)^3*$E34^5*$C34</f>
        <v>1541811.4763960291</v>
      </c>
      <c r="Q34" s="17">
        <f>Inputs!$C$6*(O34/60)^2*$E34^4*$B34</f>
        <v>32263.090898627641</v>
      </c>
      <c r="R34" s="16">
        <f>R35+100</f>
        <v>26346.719160104989</v>
      </c>
      <c r="S34" s="7">
        <f>Inputs!$C$6*(R34/60)^3*$E34^5*$C34</f>
        <v>3640827.8455096083</v>
      </c>
      <c r="T34" s="17">
        <f>Inputs!$C$6*(R34/60)^2*$E34^4*$B34</f>
        <v>57211.748183471347</v>
      </c>
      <c r="U34" s="16">
        <f>U35+100</f>
        <v>32908.398950131239</v>
      </c>
      <c r="V34" s="7">
        <f>Inputs!$C$6*(U34/60)^3*$E34^5*$C34</f>
        <v>7094810.1474600993</v>
      </c>
      <c r="W34" s="17">
        <f>Inputs!$C$6*(U34/60)^2*$E34^4*$B34</f>
        <v>89257.689660815086</v>
      </c>
      <c r="X34" s="16">
        <f>X35+100</f>
        <v>39470.078740157485</v>
      </c>
      <c r="Y34" s="7">
        <f>Inputs!$C$6*(X34/60)^3*$E34^5*$C34</f>
        <v>12241214.158947492</v>
      </c>
      <c r="Z34" s="17">
        <f>Inputs!$C$6*(X34/60)^2*$E34^4*$B34</f>
        <v>128400.91533065875</v>
      </c>
    </row>
    <row r="35" spans="1:26">
      <c r="A35" s="16">
        <f>'Propeller Data'!A11</f>
        <v>0.02</v>
      </c>
      <c r="B35" s="7">
        <f>'Propeller Data'!B11</f>
        <v>0.1051</v>
      </c>
      <c r="C35" s="7">
        <f>'Propeller Data'!C11</f>
        <v>6.6299999999999998E-2</v>
      </c>
      <c r="D35" s="17">
        <f>'Propeller Sizing'!D35</f>
        <v>3.1704374057315236E-2</v>
      </c>
      <c r="E35" s="27">
        <f t="shared" ref="E35:E63" si="0">$B$4</f>
        <v>0.2286</v>
      </c>
      <c r="F35" s="21">
        <v>2800</v>
      </c>
      <c r="G35" s="7">
        <f>Inputs!$C$6*(F35/60)^3*$E35^5*$C$34</f>
        <v>4370.1325692220662</v>
      </c>
      <c r="H35" s="17">
        <f>Inputs!$C$6*(F35/60)^2*$E35^4*$B$34</f>
        <v>646.17209168265128</v>
      </c>
      <c r="I35" s="16">
        <f t="shared" ref="I35:I63" si="1">60*I$32/($A35*$E35)</f>
        <v>6561.6797900262472</v>
      </c>
      <c r="J35" s="7">
        <f>Inputs!$C$6*(I35/60)^3*$E35^5*$C35</f>
        <v>55489.379948437498</v>
      </c>
      <c r="K35" s="17">
        <f>Inputs!$C$6*(I35/60)^2*$E35^4*$B35</f>
        <v>3518.5121161875004</v>
      </c>
      <c r="L35" s="16">
        <f t="shared" ref="L35:L63" si="2">60*L$32/($A35*$E35)</f>
        <v>13123.359580052494</v>
      </c>
      <c r="M35" s="7">
        <f>Inputs!$C$6*(L35/60)^3*$E35^5*$C35</f>
        <v>443915.03958749998</v>
      </c>
      <c r="N35" s="17">
        <f>Inputs!$C$6*(L35/60)^2*$E35^4*$B35</f>
        <v>14074.048464750002</v>
      </c>
      <c r="O35" s="16">
        <f t="shared" ref="O35:O63" si="3">60*O$32/($A35*$E35)</f>
        <v>19685.039370078743</v>
      </c>
      <c r="P35" s="7">
        <f>Inputs!$C$6*(O35/60)^3*$E35^5*$C35</f>
        <v>1498213.2586078129</v>
      </c>
      <c r="Q35" s="17">
        <f>Inputs!$C$6*(O35/60)^2*$E35^4*$B35</f>
        <v>31666.60904568751</v>
      </c>
      <c r="R35" s="16">
        <f t="shared" ref="R35:R63" si="4">60*R$32/($A35*$E35)</f>
        <v>26246.719160104989</v>
      </c>
      <c r="S35" s="7">
        <f>Inputs!$C$6*(R35/60)^3*$E35^5*$C35</f>
        <v>3551320.3166999999</v>
      </c>
      <c r="T35" s="17">
        <f>Inputs!$C$6*(R35/60)^2*$E35^4*$B35</f>
        <v>56296.193859000006</v>
      </c>
      <c r="U35" s="16">
        <f t="shared" ref="U35:U63" si="5">60*U$32/($A35*$E35)</f>
        <v>32808.398950131239</v>
      </c>
      <c r="V35" s="7">
        <f>Inputs!$C$6*(U35/60)^3*$E35^5*$C35</f>
        <v>6936172.493554689</v>
      </c>
      <c r="W35" s="17">
        <f>Inputs!$C$6*(U35/60)^2*$E35^4*$B35</f>
        <v>87962.802904687516</v>
      </c>
      <c r="X35" s="16">
        <f t="shared" ref="X35:X63" si="6">60*X$32/($A35*$E35)</f>
        <v>39370.078740157485</v>
      </c>
      <c r="Y35" s="7">
        <f>Inputs!$C$6*(X35/60)^3*$E35^5*$C35</f>
        <v>11985706.068862503</v>
      </c>
      <c r="Z35" s="17">
        <f>Inputs!$C$6*(X35/60)^2*$E35^4*$B35</f>
        <v>126666.43618275004</v>
      </c>
    </row>
    <row r="36" spans="1:26">
      <c r="A36" s="16">
        <f>'Propeller Data'!A12</f>
        <v>0.04</v>
      </c>
      <c r="B36" s="7">
        <f>'Propeller Data'!B12</f>
        <v>0.1046</v>
      </c>
      <c r="C36" s="7">
        <f>'Propeller Data'!C12</f>
        <v>6.5600000000000006E-2</v>
      </c>
      <c r="D36" s="17">
        <f>'Propeller Sizing'!D36</f>
        <v>6.378048780487805E-2</v>
      </c>
      <c r="E36" s="27">
        <f t="shared" si="0"/>
        <v>0.2286</v>
      </c>
      <c r="F36" s="21">
        <v>2700</v>
      </c>
      <c r="G36" s="7">
        <f>Inputs!$C$6*(F36/60)^3*$E36^5*$C$34</f>
        <v>3918.4274489794989</v>
      </c>
      <c r="H36" s="17">
        <f>Inputs!$C$6*(F36/60)^2*$E36^4*$B$34</f>
        <v>600.84114137328163</v>
      </c>
      <c r="I36" s="16">
        <f t="shared" si="1"/>
        <v>3280.8398950131236</v>
      </c>
      <c r="J36" s="7">
        <f>Inputs!$C$6*(I36/60)^3*$E36^5*$C36</f>
        <v>6862.9399031250005</v>
      </c>
      <c r="K36" s="17">
        <f>Inputs!$C$6*(I36/60)^2*$E36^4*$B36</f>
        <v>875.44330959375009</v>
      </c>
      <c r="L36" s="16">
        <f t="shared" si="2"/>
        <v>6561.6797900262472</v>
      </c>
      <c r="M36" s="7">
        <f>Inputs!$C$6*(L36/60)^3*$E36^5*$C36</f>
        <v>54903.519225000004</v>
      </c>
      <c r="N36" s="17">
        <f>Inputs!$C$6*(L36/60)^2*$E36^4*$B36</f>
        <v>3501.7732383750003</v>
      </c>
      <c r="O36" s="16">
        <f t="shared" si="3"/>
        <v>9842.5196850393713</v>
      </c>
      <c r="P36" s="7">
        <f>Inputs!$C$6*(O36/60)^3*$E36^5*$C36</f>
        <v>185299.37738437508</v>
      </c>
      <c r="Q36" s="17">
        <f>Inputs!$C$6*(O36/60)^2*$E36^4*$B36</f>
        <v>7878.9897863437527</v>
      </c>
      <c r="R36" s="16">
        <f t="shared" si="4"/>
        <v>13123.359580052494</v>
      </c>
      <c r="S36" s="7">
        <f>Inputs!$C$6*(R36/60)^3*$E36^5*$C36</f>
        <v>439228.15380000003</v>
      </c>
      <c r="T36" s="17">
        <f>Inputs!$C$6*(R36/60)^2*$E36^4*$B36</f>
        <v>14007.092953500001</v>
      </c>
      <c r="U36" s="16">
        <f t="shared" si="5"/>
        <v>16404.199475065619</v>
      </c>
      <c r="V36" s="7">
        <f>Inputs!$C$6*(U36/60)^3*$E36^5*$C36</f>
        <v>857867.48789062537</v>
      </c>
      <c r="W36" s="17">
        <f>Inputs!$C$6*(U36/60)^2*$E36^4*$B36</f>
        <v>21886.082739843754</v>
      </c>
      <c r="X36" s="16">
        <f t="shared" si="6"/>
        <v>19685.039370078743</v>
      </c>
      <c r="Y36" s="7">
        <f>Inputs!$C$6*(X36/60)^3*$E36^5*$C36</f>
        <v>1482395.0190750007</v>
      </c>
      <c r="Z36" s="17">
        <f>Inputs!$C$6*(X36/60)^2*$E36^4*$B36</f>
        <v>31515.959145375011</v>
      </c>
    </row>
    <row r="37" spans="1:26">
      <c r="A37" s="16">
        <f>'Propeller Data'!A13</f>
        <v>0.06</v>
      </c>
      <c r="B37" s="7">
        <f>'Propeller Data'!B13</f>
        <v>0.1032</v>
      </c>
      <c r="C37" s="7">
        <f>'Propeller Data'!C13</f>
        <v>6.4699999999999994E-2</v>
      </c>
      <c r="D37" s="17">
        <f>'Propeller Sizing'!D37</f>
        <v>9.57032457496136E-2</v>
      </c>
      <c r="E37" s="27">
        <f t="shared" si="0"/>
        <v>0.2286</v>
      </c>
      <c r="F37" s="21">
        <v>2600</v>
      </c>
      <c r="G37" s="7">
        <f>Inputs!$C$6*(F37/60)^3*$E37^5*$C$34</f>
        <v>3498.9727604157747</v>
      </c>
      <c r="H37" s="17">
        <f>Inputs!$C$6*(F37/60)^2*$E37^4*$B$34</f>
        <v>557.15858925698001</v>
      </c>
      <c r="I37" s="16">
        <f t="shared" si="1"/>
        <v>2187.2265966754157</v>
      </c>
      <c r="J37" s="7">
        <f>Inputs!$C$6*(I37/60)^3*$E37^5*$C37</f>
        <v>2005.5655453124998</v>
      </c>
      <c r="K37" s="17">
        <f>Inputs!$C$6*(I37/60)^2*$E37^4*$B37</f>
        <v>383.8782645</v>
      </c>
      <c r="L37" s="16">
        <f t="shared" si="2"/>
        <v>4374.4531933508315</v>
      </c>
      <c r="M37" s="7">
        <f>Inputs!$C$6*(L37/60)^3*$E37^5*$C37</f>
        <v>16044.524362499998</v>
      </c>
      <c r="N37" s="17">
        <f>Inputs!$C$6*(L37/60)^2*$E37^4*$B37</f>
        <v>1535.513058</v>
      </c>
      <c r="O37" s="16">
        <f t="shared" si="3"/>
        <v>6561.6797900262472</v>
      </c>
      <c r="P37" s="7">
        <f>Inputs!$C$6*(O37/60)^3*$E37^5*$C37</f>
        <v>54150.269723437494</v>
      </c>
      <c r="Q37" s="17">
        <f>Inputs!$C$6*(O37/60)^2*$E37^4*$B37</f>
        <v>3454.9043805000006</v>
      </c>
      <c r="R37" s="16">
        <f t="shared" si="4"/>
        <v>8748.906386701663</v>
      </c>
      <c r="S37" s="7">
        <f>Inputs!$C$6*(R37/60)^3*$E37^5*$C37</f>
        <v>128356.19489999999</v>
      </c>
      <c r="T37" s="17">
        <f>Inputs!$C$6*(R37/60)^2*$E37^4*$B37</f>
        <v>6142.052232</v>
      </c>
      <c r="U37" s="16">
        <f t="shared" si="5"/>
        <v>10936.132983377078</v>
      </c>
      <c r="V37" s="7">
        <f>Inputs!$C$6*(U37/60)^3*$E37^5*$C37</f>
        <v>250695.69316406245</v>
      </c>
      <c r="W37" s="17">
        <f>Inputs!$C$6*(U37/60)^2*$E37^4*$B37</f>
        <v>9596.9566124999983</v>
      </c>
      <c r="X37" s="16">
        <f t="shared" si="6"/>
        <v>13123.359580052494</v>
      </c>
      <c r="Y37" s="7">
        <f>Inputs!$C$6*(X37/60)^3*$E37^5*$C37</f>
        <v>433202.15778749995</v>
      </c>
      <c r="Z37" s="17">
        <f>Inputs!$C$6*(X37/60)^2*$E37^4*$B37</f>
        <v>13819.617522000002</v>
      </c>
    </row>
    <row r="38" spans="1:26">
      <c r="A38" s="16">
        <f>'Propeller Data'!A14</f>
        <v>0.08</v>
      </c>
      <c r="B38" s="7">
        <f>'Propeller Data'!B14</f>
        <v>0.10150000000000001</v>
      </c>
      <c r="C38" s="7">
        <f>'Propeller Data'!C14</f>
        <v>6.3799999999999996E-2</v>
      </c>
      <c r="D38" s="17">
        <f>'Propeller Sizing'!D38</f>
        <v>0.12727272727272729</v>
      </c>
      <c r="E38" s="27">
        <f t="shared" si="0"/>
        <v>0.2286</v>
      </c>
      <c r="F38" s="21">
        <v>2500</v>
      </c>
      <c r="G38" s="7">
        <f>Inputs!$C$6*(F38/60)^3*$E38^5*$C$34</f>
        <v>3110.5740430983419</v>
      </c>
      <c r="H38" s="17">
        <f>Inputs!$C$6*(F38/60)^2*$E38^4*$B$34</f>
        <v>515.12443533374619</v>
      </c>
      <c r="I38" s="16">
        <f t="shared" si="1"/>
        <v>1640.4199475065618</v>
      </c>
      <c r="J38" s="7">
        <f>Inputs!$C$6*(I38/60)^3*$E38^5*$C38</f>
        <v>834.32844096679685</v>
      </c>
      <c r="K38" s="17">
        <f>Inputs!$C$6*(I38/60)^2*$E38^4*$B38</f>
        <v>212.37451224609379</v>
      </c>
      <c r="L38" s="16">
        <f t="shared" si="2"/>
        <v>3280.8398950131236</v>
      </c>
      <c r="M38" s="7">
        <f>Inputs!$C$6*(L38/60)^3*$E38^5*$C38</f>
        <v>6674.6275277343748</v>
      </c>
      <c r="N38" s="17">
        <f>Inputs!$C$6*(L38/60)^2*$E38^4*$B38</f>
        <v>849.49804898437515</v>
      </c>
      <c r="O38" s="16">
        <f t="shared" si="3"/>
        <v>4921.2598425196857</v>
      </c>
      <c r="P38" s="7">
        <f>Inputs!$C$6*(O38/60)^3*$E38^5*$C38</f>
        <v>22526.867906103522</v>
      </c>
      <c r="Q38" s="17">
        <f>Inputs!$C$6*(O38/60)^2*$E38^4*$B38</f>
        <v>1911.3706102148444</v>
      </c>
      <c r="R38" s="16">
        <f t="shared" si="4"/>
        <v>6561.6797900262472</v>
      </c>
      <c r="S38" s="7">
        <f>Inputs!$C$6*(R38/60)^3*$E38^5*$C38</f>
        <v>53397.020221874998</v>
      </c>
      <c r="T38" s="17">
        <f>Inputs!$C$6*(R38/60)^2*$E38^4*$B38</f>
        <v>3397.9921959375006</v>
      </c>
      <c r="U38" s="16">
        <f t="shared" si="5"/>
        <v>8202.0997375328097</v>
      </c>
      <c r="V38" s="7">
        <f>Inputs!$C$6*(U38/60)^3*$E38^5*$C38</f>
        <v>104291.05512084963</v>
      </c>
      <c r="W38" s="17">
        <f>Inputs!$C$6*(U38/60)^2*$E38^4*$B38</f>
        <v>5309.362806152345</v>
      </c>
      <c r="X38" s="16">
        <f t="shared" si="6"/>
        <v>9842.5196850393713</v>
      </c>
      <c r="Y38" s="7">
        <f>Inputs!$C$6*(X38/60)^3*$E38^5*$C38</f>
        <v>180214.94324882817</v>
      </c>
      <c r="Z38" s="17">
        <f>Inputs!$C$6*(X38/60)^2*$E38^4*$B38</f>
        <v>7645.4824408593777</v>
      </c>
    </row>
    <row r="39" spans="1:26">
      <c r="A39" s="16">
        <f>'Propeller Data'!A15</f>
        <v>0.09</v>
      </c>
      <c r="B39" s="7">
        <f>'Propeller Data'!B15</f>
        <v>9.9500000000000005E-2</v>
      </c>
      <c r="C39" s="7">
        <f>'Propeller Data'!C15</f>
        <v>6.3100000000000003E-2</v>
      </c>
      <c r="D39" s="17">
        <f>'Propeller Sizing'!D39</f>
        <v>0.14191759112519808</v>
      </c>
      <c r="E39" s="27">
        <f t="shared" si="0"/>
        <v>0.2286</v>
      </c>
      <c r="F39" s="21">
        <v>2400</v>
      </c>
      <c r="G39" s="7">
        <f>Inputs!$C$6*(F39/60)^3*$E39^5*$C$34</f>
        <v>2752.0368365946547</v>
      </c>
      <c r="H39" s="17">
        <f>Inputs!$C$6*(F39/60)^2*$E39^4*$B$34</f>
        <v>474.73867960358058</v>
      </c>
      <c r="I39" s="16">
        <f t="shared" si="1"/>
        <v>1458.1510644502771</v>
      </c>
      <c r="J39" s="7">
        <f>Inputs!$C$6*(I39/60)^3*$E39^5*$C39</f>
        <v>579.54633194444455</v>
      </c>
      <c r="K39" s="17">
        <f>Inputs!$C$6*(I39/60)^2*$E39^4*$B39</f>
        <v>164.49563875000004</v>
      </c>
      <c r="L39" s="16">
        <f t="shared" si="2"/>
        <v>2916.3021289005542</v>
      </c>
      <c r="M39" s="7">
        <f>Inputs!$C$6*(L39/60)^3*$E39^5*$C39</f>
        <v>4636.3706555555564</v>
      </c>
      <c r="N39" s="17">
        <f>Inputs!$C$6*(L39/60)^2*$E39^4*$B39</f>
        <v>657.98255500000016</v>
      </c>
      <c r="O39" s="16">
        <f t="shared" si="3"/>
        <v>4374.4531933508315</v>
      </c>
      <c r="P39" s="7">
        <f>Inputs!$C$6*(O39/60)^3*$E39^5*$C39</f>
        <v>15647.7509625</v>
      </c>
      <c r="Q39" s="17">
        <f>Inputs!$C$6*(O39/60)^2*$E39^4*$B39</f>
        <v>1480.4607487500002</v>
      </c>
      <c r="R39" s="16">
        <f t="shared" si="4"/>
        <v>5832.6042578011084</v>
      </c>
      <c r="S39" s="7">
        <f>Inputs!$C$6*(R39/60)^3*$E39^5*$C39</f>
        <v>37090.965244444451</v>
      </c>
      <c r="T39" s="17">
        <f>Inputs!$C$6*(R39/60)^2*$E39^4*$B39</f>
        <v>2631.9302200000006</v>
      </c>
      <c r="U39" s="16">
        <f t="shared" si="5"/>
        <v>7290.7553222513861</v>
      </c>
      <c r="V39" s="7">
        <f>Inputs!$C$6*(U39/60)^3*$E39^5*$C39</f>
        <v>72443.291493055571</v>
      </c>
      <c r="W39" s="17">
        <f>Inputs!$C$6*(U39/60)^2*$E39^4*$B39</f>
        <v>4112.3909687500009</v>
      </c>
      <c r="X39" s="16">
        <f t="shared" si="6"/>
        <v>8748.906386701663</v>
      </c>
      <c r="Y39" s="7">
        <f>Inputs!$C$6*(X39/60)^3*$E39^5*$C39</f>
        <v>125182.0077</v>
      </c>
      <c r="Z39" s="17">
        <f>Inputs!$C$6*(X39/60)^2*$E39^4*$B39</f>
        <v>5921.8429950000009</v>
      </c>
    </row>
    <row r="40" spans="1:26">
      <c r="A40" s="16">
        <f>'Propeller Data'!A16</f>
        <v>0.11</v>
      </c>
      <c r="B40" s="7">
        <f>'Propeller Data'!B16</f>
        <v>9.7299999999999998E-2</v>
      </c>
      <c r="C40" s="7">
        <f>'Propeller Data'!C16</f>
        <v>6.2600000000000003E-2</v>
      </c>
      <c r="D40" s="17">
        <f>'Propeller Sizing'!D40</f>
        <v>0.17097444089456867</v>
      </c>
      <c r="E40" s="27">
        <f t="shared" si="0"/>
        <v>0.2286</v>
      </c>
      <c r="F40" s="21">
        <v>2300</v>
      </c>
      <c r="G40" s="7">
        <f>Inputs!$C$6*(F40/60)^3*$E40^5*$C$34</f>
        <v>2422.1666804721622</v>
      </c>
      <c r="H40" s="17">
        <f>Inputs!$C$6*(F40/60)^2*$E40^4*$B$34</f>
        <v>436.00132206648294</v>
      </c>
      <c r="I40" s="16">
        <f t="shared" si="1"/>
        <v>1193.0326890956812</v>
      </c>
      <c r="J40" s="7">
        <f>Inputs!$C$6*(I40/60)^3*$E40^5*$C40</f>
        <v>314.9072129413974</v>
      </c>
      <c r="K40" s="17">
        <f>Inputs!$C$6*(I40/60)^2*$E40^4*$B40</f>
        <v>107.68216933264462</v>
      </c>
      <c r="L40" s="16">
        <f t="shared" si="2"/>
        <v>2386.0653781913625</v>
      </c>
      <c r="M40" s="7">
        <f>Inputs!$C$6*(L40/60)^3*$E40^5*$C40</f>
        <v>2519.2577035311792</v>
      </c>
      <c r="N40" s="17">
        <f>Inputs!$C$6*(L40/60)^2*$E40^4*$B40</f>
        <v>430.72867733057848</v>
      </c>
      <c r="O40" s="16">
        <f t="shared" si="3"/>
        <v>3579.0980672870437</v>
      </c>
      <c r="P40" s="7">
        <f>Inputs!$C$6*(O40/60)^3*$E40^5*$C40</f>
        <v>8502.4947494177286</v>
      </c>
      <c r="Q40" s="17">
        <f>Inputs!$C$6*(O40/60)^2*$E40^4*$B40</f>
        <v>969.13952399380162</v>
      </c>
      <c r="R40" s="16">
        <f t="shared" si="4"/>
        <v>4772.1307563827249</v>
      </c>
      <c r="S40" s="7">
        <f>Inputs!$C$6*(R40/60)^3*$E40^5*$C40</f>
        <v>20154.061628249434</v>
      </c>
      <c r="T40" s="17">
        <f>Inputs!$C$6*(R40/60)^2*$E40^4*$B40</f>
        <v>1722.9147093223139</v>
      </c>
      <c r="U40" s="16">
        <f t="shared" si="5"/>
        <v>5965.1634454784062</v>
      </c>
      <c r="V40" s="7">
        <f>Inputs!$C$6*(U40/60)^3*$E40^5*$C40</f>
        <v>39363.401617674674</v>
      </c>
      <c r="W40" s="17">
        <f>Inputs!$C$6*(U40/60)^2*$E40^4*$B40</f>
        <v>2692.0542333161152</v>
      </c>
      <c r="X40" s="16">
        <f t="shared" si="6"/>
        <v>7158.1961345740874</v>
      </c>
      <c r="Y40" s="7">
        <f>Inputs!$C$6*(X40/60)^3*$E40^5*$C40</f>
        <v>68019.957995341829</v>
      </c>
      <c r="Z40" s="17">
        <f>Inputs!$C$6*(X40/60)^2*$E40^4*$B40</f>
        <v>3876.5580959752065</v>
      </c>
    </row>
    <row r="41" spans="1:26">
      <c r="A41" s="16">
        <f>'Propeller Data'!A17</f>
        <v>0.13</v>
      </c>
      <c r="B41" s="7">
        <f>'Propeller Data'!B17</f>
        <v>9.4899999999999998E-2</v>
      </c>
      <c r="C41" s="7">
        <f>'Propeller Data'!C17</f>
        <v>6.2E-2</v>
      </c>
      <c r="D41" s="17">
        <f>'Propeller Sizing'!D41</f>
        <v>0.19898387096774195</v>
      </c>
      <c r="E41" s="27">
        <f t="shared" si="0"/>
        <v>0.2286</v>
      </c>
      <c r="F41" s="21">
        <v>2200</v>
      </c>
      <c r="G41" s="7">
        <f>Inputs!$C$6*(F41/60)^3*$E41^5*$C$34</f>
        <v>2119.7691142983131</v>
      </c>
      <c r="H41" s="17">
        <f>Inputs!$C$6*(F41/60)^2*$E41^4*$B$34</f>
        <v>398.91236272245311</v>
      </c>
      <c r="I41" s="16">
        <f t="shared" si="1"/>
        <v>1009.4891984655764</v>
      </c>
      <c r="J41" s="7">
        <f>Inputs!$C$6*(I41/60)^3*$E41^5*$C41</f>
        <v>188.95046415566677</v>
      </c>
      <c r="K41" s="17">
        <f>Inputs!$C$6*(I41/60)^2*$E41^4*$B41</f>
        <v>75.196189557692307</v>
      </c>
      <c r="L41" s="16">
        <f t="shared" si="2"/>
        <v>2018.9783969311527</v>
      </c>
      <c r="M41" s="7">
        <f>Inputs!$C$6*(L41/60)^3*$E41^5*$C41</f>
        <v>1511.6037132453341</v>
      </c>
      <c r="N41" s="17">
        <f>Inputs!$C$6*(L41/60)^2*$E41^4*$B41</f>
        <v>300.78475823076923</v>
      </c>
      <c r="O41" s="16">
        <f t="shared" si="3"/>
        <v>3028.4675953967289</v>
      </c>
      <c r="P41" s="7">
        <f>Inputs!$C$6*(O41/60)^3*$E41^5*$C41</f>
        <v>5101.6625322030013</v>
      </c>
      <c r="Q41" s="17">
        <f>Inputs!$C$6*(O41/60)^2*$E41^4*$B41</f>
        <v>676.76570601923061</v>
      </c>
      <c r="R41" s="16">
        <f t="shared" si="4"/>
        <v>4037.9567938623054</v>
      </c>
      <c r="S41" s="7">
        <f>Inputs!$C$6*(R41/60)^3*$E41^5*$C41</f>
        <v>12092.829705962673</v>
      </c>
      <c r="T41" s="17">
        <f>Inputs!$C$6*(R41/60)^2*$E41^4*$B41</f>
        <v>1203.1390329230769</v>
      </c>
      <c r="U41" s="16">
        <f t="shared" si="5"/>
        <v>5047.4459923278819</v>
      </c>
      <c r="V41" s="7">
        <f>Inputs!$C$6*(U41/60)^3*$E41^5*$C41</f>
        <v>23618.808019458349</v>
      </c>
      <c r="W41" s="17">
        <f>Inputs!$C$6*(U41/60)^2*$E41^4*$B41</f>
        <v>1879.9047389423076</v>
      </c>
      <c r="X41" s="16">
        <f t="shared" si="6"/>
        <v>6056.9351907934579</v>
      </c>
      <c r="Y41" s="7">
        <f>Inputs!$C$6*(X41/60)^3*$E41^5*$C41</f>
        <v>40813.300257624011</v>
      </c>
      <c r="Z41" s="17">
        <f>Inputs!$C$6*(X41/60)^2*$E41^4*$B41</f>
        <v>2707.0628240769224</v>
      </c>
    </row>
    <row r="42" spans="1:26">
      <c r="A42" s="16">
        <f>'Propeller Data'!A18</f>
        <v>0.15</v>
      </c>
      <c r="B42" s="7">
        <f>'Propeller Data'!B18</f>
        <v>9.2399999999999996E-2</v>
      </c>
      <c r="C42" s="7">
        <f>'Propeller Data'!C18</f>
        <v>6.1400000000000003E-2</v>
      </c>
      <c r="D42" s="17">
        <f>'Propeller Sizing'!D42</f>
        <v>0.22573289902280128</v>
      </c>
      <c r="E42" s="27">
        <f t="shared" si="0"/>
        <v>0.2286</v>
      </c>
      <c r="F42" s="21">
        <v>2100</v>
      </c>
      <c r="G42" s="7">
        <f>Inputs!$C$6*(F42/60)^3*$E42^5*$C$34</f>
        <v>1843.6496776405597</v>
      </c>
      <c r="H42" s="17">
        <f>Inputs!$C$6*(F42/60)^2*$E42^4*$B$34</f>
        <v>363.47180157149137</v>
      </c>
      <c r="I42" s="16">
        <f t="shared" si="1"/>
        <v>874.89063867016625</v>
      </c>
      <c r="J42" s="7">
        <f>Inputs!$C$6*(I42/60)^3*$E42^5*$C42</f>
        <v>121.80943380000001</v>
      </c>
      <c r="K42" s="17">
        <f>Inputs!$C$6*(I42/60)^2*$E42^4*$B42</f>
        <v>54.99279323999999</v>
      </c>
      <c r="L42" s="16">
        <f t="shared" si="2"/>
        <v>1749.7812773403325</v>
      </c>
      <c r="M42" s="7">
        <f>Inputs!$C$6*(L42/60)^3*$E42^5*$C42</f>
        <v>974.47547040000006</v>
      </c>
      <c r="N42" s="17">
        <f>Inputs!$C$6*(L42/60)^2*$E42^4*$B42</f>
        <v>219.97117295999996</v>
      </c>
      <c r="O42" s="16">
        <f t="shared" si="3"/>
        <v>2624.6719160104985</v>
      </c>
      <c r="P42" s="7">
        <f>Inputs!$C$6*(O42/60)^3*$E42^5*$C42</f>
        <v>3288.8547125999989</v>
      </c>
      <c r="Q42" s="17">
        <f>Inputs!$C$6*(O42/60)^2*$E42^4*$B42</f>
        <v>494.93513915999984</v>
      </c>
      <c r="R42" s="16">
        <f t="shared" si="4"/>
        <v>3499.562554680665</v>
      </c>
      <c r="S42" s="7">
        <f>Inputs!$C$6*(R42/60)^3*$E42^5*$C42</f>
        <v>7795.8037632000005</v>
      </c>
      <c r="T42" s="17">
        <f>Inputs!$C$6*(R42/60)^2*$E42^4*$B42</f>
        <v>879.88469183999985</v>
      </c>
      <c r="U42" s="16">
        <f t="shared" si="5"/>
        <v>4374.4531933508306</v>
      </c>
      <c r="V42" s="7">
        <f>Inputs!$C$6*(U42/60)^3*$E42^5*$C42</f>
        <v>15226.179224999994</v>
      </c>
      <c r="W42" s="17">
        <f>Inputs!$C$6*(U42/60)^2*$E42^4*$B42</f>
        <v>1374.8198309999996</v>
      </c>
      <c r="X42" s="16">
        <f t="shared" si="6"/>
        <v>5249.3438320209971</v>
      </c>
      <c r="Y42" s="7">
        <f>Inputs!$C$6*(X42/60)^3*$E42^5*$C42</f>
        <v>26310.837700799992</v>
      </c>
      <c r="Z42" s="17">
        <f>Inputs!$C$6*(X42/60)^2*$E42^4*$B42</f>
        <v>1979.7405566399993</v>
      </c>
    </row>
    <row r="43" spans="1:26">
      <c r="A43" s="16">
        <f>'Propeller Data'!A19</f>
        <v>0.17</v>
      </c>
      <c r="B43" s="7">
        <f>'Propeller Data'!B19</f>
        <v>8.9800000000000005E-2</v>
      </c>
      <c r="C43" s="7">
        <f>'Propeller Data'!C19</f>
        <v>6.08E-2</v>
      </c>
      <c r="D43" s="17">
        <f>'Propeller Sizing'!D43</f>
        <v>0.25108552631578951</v>
      </c>
      <c r="E43" s="27">
        <f t="shared" si="0"/>
        <v>0.2286</v>
      </c>
      <c r="F43" s="21">
        <v>2000</v>
      </c>
      <c r="G43" s="7">
        <f>Inputs!$C$6*(F43/60)^3*$E43^5*$C$34</f>
        <v>1592.6139100663513</v>
      </c>
      <c r="H43" s="17">
        <f>Inputs!$C$6*(F43/60)^2*$E43^4*$B$34</f>
        <v>329.67963861359766</v>
      </c>
      <c r="I43" s="16">
        <f t="shared" si="1"/>
        <v>771.96232823838193</v>
      </c>
      <c r="J43" s="7">
        <f>Inputs!$C$6*(I43/60)^3*$E43^5*$C43</f>
        <v>82.859659759820858</v>
      </c>
      <c r="K43" s="17">
        <f>Inputs!$C$6*(I43/60)^2*$E43^4*$B43</f>
        <v>41.609722562283736</v>
      </c>
      <c r="L43" s="16">
        <f t="shared" si="2"/>
        <v>1543.9246564767639</v>
      </c>
      <c r="M43" s="7">
        <f>Inputs!$C$6*(L43/60)^3*$E43^5*$C43</f>
        <v>662.87727807856686</v>
      </c>
      <c r="N43" s="17">
        <f>Inputs!$C$6*(L43/60)^2*$E43^4*$B43</f>
        <v>166.43889024913494</v>
      </c>
      <c r="O43" s="16">
        <f t="shared" si="3"/>
        <v>2315.8869847151459</v>
      </c>
      <c r="P43" s="7">
        <f>Inputs!$C$6*(O43/60)^3*$E43^5*$C43</f>
        <v>2237.2108135151643</v>
      </c>
      <c r="Q43" s="17">
        <f>Inputs!$C$6*(O43/60)^2*$E43^4*$B43</f>
        <v>374.48750306055376</v>
      </c>
      <c r="R43" s="16">
        <f t="shared" si="4"/>
        <v>3087.8493129535277</v>
      </c>
      <c r="S43" s="7">
        <f>Inputs!$C$6*(R43/60)^3*$E43^5*$C43</f>
        <v>5303.0182246285349</v>
      </c>
      <c r="T43" s="17">
        <f>Inputs!$C$6*(R43/60)^2*$E43^4*$B43</f>
        <v>665.75556099653977</v>
      </c>
      <c r="U43" s="16">
        <f t="shared" si="5"/>
        <v>3859.81164119191</v>
      </c>
      <c r="V43" s="7">
        <f>Inputs!$C$6*(U43/60)^3*$E43^5*$C43</f>
        <v>10357.457469977606</v>
      </c>
      <c r="W43" s="17">
        <f>Inputs!$C$6*(U43/60)^2*$E43^4*$B43</f>
        <v>1040.2430640570935</v>
      </c>
      <c r="X43" s="16">
        <f t="shared" si="6"/>
        <v>4631.7739694302918</v>
      </c>
      <c r="Y43" s="7">
        <f>Inputs!$C$6*(X43/60)^3*$E43^5*$C43</f>
        <v>17897.686508121315</v>
      </c>
      <c r="Z43" s="17">
        <f>Inputs!$C$6*(X43/60)^2*$E43^4*$B43</f>
        <v>1497.9500122422151</v>
      </c>
    </row>
    <row r="44" spans="1:26">
      <c r="A44" s="16">
        <f>'Propeller Data'!A20</f>
        <v>0.19</v>
      </c>
      <c r="B44" s="7">
        <f>'Propeller Data'!B20</f>
        <v>8.7099999999999997E-2</v>
      </c>
      <c r="C44" s="7">
        <f>'Propeller Data'!C20</f>
        <v>6.0100000000000001E-2</v>
      </c>
      <c r="D44" s="17">
        <f>'Propeller Sizing'!D44</f>
        <v>0.27535773710482531</v>
      </c>
      <c r="E44" s="27">
        <f t="shared" si="0"/>
        <v>0.2286</v>
      </c>
      <c r="F44" s="21">
        <v>1900</v>
      </c>
      <c r="G44" s="7">
        <f>Inputs!$C$6*(F44/60)^3*$E44^5*$C$34</f>
        <v>1365.4673511431381</v>
      </c>
      <c r="H44" s="17">
        <f>Inputs!$C$6*(F44/60)^2*$E44^4*$B$34</f>
        <v>297.53587384877181</v>
      </c>
      <c r="I44" s="16">
        <f t="shared" si="1"/>
        <v>690.70313579223648</v>
      </c>
      <c r="J44" s="7">
        <f>Inputs!$C$6*(I44/60)^3*$E44^5*$C44</f>
        <v>58.667826594620188</v>
      </c>
      <c r="K44" s="17">
        <f>Inputs!$C$6*(I44/60)^2*$E44^4*$B44</f>
        <v>32.309279943905807</v>
      </c>
      <c r="L44" s="16">
        <f t="shared" si="2"/>
        <v>1381.406271584473</v>
      </c>
      <c r="M44" s="7">
        <f>Inputs!$C$6*(L44/60)^3*$E44^5*$C44</f>
        <v>469.3426127569615</v>
      </c>
      <c r="N44" s="17">
        <f>Inputs!$C$6*(L44/60)^2*$E44^4*$B44</f>
        <v>129.23711977562323</v>
      </c>
      <c r="O44" s="16">
        <f t="shared" si="3"/>
        <v>2072.1094073767094</v>
      </c>
      <c r="P44" s="7">
        <f>Inputs!$C$6*(O44/60)^3*$E44^5*$C44</f>
        <v>1584.0313180547455</v>
      </c>
      <c r="Q44" s="17">
        <f>Inputs!$C$6*(O44/60)^2*$E44^4*$B44</f>
        <v>290.78351949515235</v>
      </c>
      <c r="R44" s="16">
        <f t="shared" si="4"/>
        <v>2762.8125431689459</v>
      </c>
      <c r="S44" s="7">
        <f>Inputs!$C$6*(R44/60)^3*$E44^5*$C44</f>
        <v>3754.740902055692</v>
      </c>
      <c r="T44" s="17">
        <f>Inputs!$C$6*(R44/60)^2*$E44^4*$B44</f>
        <v>516.94847910249291</v>
      </c>
      <c r="U44" s="16">
        <f t="shared" si="5"/>
        <v>3453.5156789611824</v>
      </c>
      <c r="V44" s="7">
        <f>Inputs!$C$6*(U44/60)^3*$E44^5*$C44</f>
        <v>7333.4783243275251</v>
      </c>
      <c r="W44" s="17">
        <f>Inputs!$C$6*(U44/60)^2*$E44^4*$B44</f>
        <v>807.73199859764532</v>
      </c>
      <c r="X44" s="16">
        <f t="shared" si="6"/>
        <v>4144.2188147534189</v>
      </c>
      <c r="Y44" s="7">
        <f>Inputs!$C$6*(X44/60)^3*$E44^5*$C44</f>
        <v>12672.250544437964</v>
      </c>
      <c r="Z44" s="17">
        <f>Inputs!$C$6*(X44/60)^2*$E44^4*$B44</f>
        <v>1163.1340779806094</v>
      </c>
    </row>
    <row r="45" spans="1:26">
      <c r="A45" s="16">
        <f>'Propeller Data'!A21</f>
        <v>0.21</v>
      </c>
      <c r="B45" s="7">
        <f>'Propeller Data'!B21</f>
        <v>8.4000000000000005E-2</v>
      </c>
      <c r="C45" s="7">
        <f>'Propeller Data'!C21</f>
        <v>5.8900000000000001E-2</v>
      </c>
      <c r="D45" s="17">
        <f>'Propeller Sizing'!D45</f>
        <v>0.29949066213921899</v>
      </c>
      <c r="E45" s="27">
        <f t="shared" si="0"/>
        <v>0.2286</v>
      </c>
      <c r="F45" s="21">
        <v>1800</v>
      </c>
      <c r="G45" s="7">
        <f>Inputs!$C$6*(F45/60)^3*$E45^5*$C$34</f>
        <v>1161.0155404383702</v>
      </c>
      <c r="H45" s="17">
        <f>Inputs!$C$6*(F45/60)^2*$E45^4*$B$34</f>
        <v>267.04050727701406</v>
      </c>
      <c r="I45" s="16">
        <f t="shared" si="1"/>
        <v>624.92188476440447</v>
      </c>
      <c r="J45" s="7">
        <f>Inputs!$C$6*(I45/60)^3*$E45^5*$C45</f>
        <v>42.583734074344022</v>
      </c>
      <c r="K45" s="17">
        <f>Inputs!$C$6*(I45/60)^2*$E45^4*$B45</f>
        <v>25.50686142857143</v>
      </c>
      <c r="L45" s="16">
        <f t="shared" si="2"/>
        <v>1249.8437695288089</v>
      </c>
      <c r="M45" s="7">
        <f>Inputs!$C$6*(L45/60)^3*$E45^5*$C45</f>
        <v>340.66987259475218</v>
      </c>
      <c r="N45" s="17">
        <f>Inputs!$C$6*(L45/60)^2*$E45^4*$B45</f>
        <v>102.02744571428572</v>
      </c>
      <c r="O45" s="16">
        <f t="shared" si="3"/>
        <v>1874.7656542932134</v>
      </c>
      <c r="P45" s="7">
        <f>Inputs!$C$6*(O45/60)^3*$E45^5*$C45</f>
        <v>1149.7608200072887</v>
      </c>
      <c r="Q45" s="17">
        <f>Inputs!$C$6*(O45/60)^2*$E45^4*$B45</f>
        <v>229.56175285714289</v>
      </c>
      <c r="R45" s="16">
        <f t="shared" si="4"/>
        <v>2499.6875390576179</v>
      </c>
      <c r="S45" s="7">
        <f>Inputs!$C$6*(R45/60)^3*$E45^5*$C45</f>
        <v>2725.3589807580174</v>
      </c>
      <c r="T45" s="17">
        <f>Inputs!$C$6*(R45/60)^2*$E45^4*$B45</f>
        <v>408.10978285714287</v>
      </c>
      <c r="U45" s="16">
        <f t="shared" si="5"/>
        <v>3124.6094238220221</v>
      </c>
      <c r="V45" s="7">
        <f>Inputs!$C$6*(U45/60)^3*$E45^5*$C45</f>
        <v>5322.9667592930018</v>
      </c>
      <c r="W45" s="17">
        <f>Inputs!$C$6*(U45/60)^2*$E45^4*$B45</f>
        <v>637.6715357142856</v>
      </c>
      <c r="X45" s="16">
        <f t="shared" si="6"/>
        <v>3749.5313085864268</v>
      </c>
      <c r="Y45" s="7">
        <f>Inputs!$C$6*(X45/60)^3*$E45^5*$C45</f>
        <v>9198.0865600583093</v>
      </c>
      <c r="Z45" s="17">
        <f>Inputs!$C$6*(X45/60)^2*$E45^4*$B45</f>
        <v>918.24701142857157</v>
      </c>
    </row>
    <row r="46" spans="1:26">
      <c r="A46" s="16">
        <f>'Propeller Data'!A22</f>
        <v>0.23</v>
      </c>
      <c r="B46" s="7">
        <f>'Propeller Data'!B22</f>
        <v>8.0299999999999996E-2</v>
      </c>
      <c r="C46" s="7">
        <f>'Propeller Data'!C22</f>
        <v>5.7599999999999998E-2</v>
      </c>
      <c r="D46" s="17">
        <f>'Propeller Sizing'!D46</f>
        <v>0.32064236111111111</v>
      </c>
      <c r="E46" s="27">
        <f t="shared" si="0"/>
        <v>0.2286</v>
      </c>
      <c r="F46" s="21">
        <v>1700</v>
      </c>
      <c r="G46" s="7">
        <f>Inputs!$C$6*(F46/60)^3*$E46^5*$C$34</f>
        <v>978.06401751949772</v>
      </c>
      <c r="H46" s="17">
        <f>Inputs!$C$6*(F46/60)^2*$E46^4*$B$34</f>
        <v>238.19353889832422</v>
      </c>
      <c r="I46" s="16">
        <f t="shared" si="1"/>
        <v>570.58085130663017</v>
      </c>
      <c r="J46" s="7">
        <f>Inputs!$C$6*(I46/60)^3*$E46^5*$C46</f>
        <v>31.697521558313468</v>
      </c>
      <c r="K46" s="17">
        <f>Inputs!$C$6*(I46/60)^2*$E46^4*$B46</f>
        <v>20.327136307655955</v>
      </c>
      <c r="L46" s="16">
        <f t="shared" si="2"/>
        <v>1141.1617026132603</v>
      </c>
      <c r="M46" s="7">
        <f>Inputs!$C$6*(L46/60)^3*$E46^5*$C46</f>
        <v>253.58017246650775</v>
      </c>
      <c r="N46" s="17">
        <f>Inputs!$C$6*(L46/60)^2*$E46^4*$B46</f>
        <v>81.308545230623821</v>
      </c>
      <c r="O46" s="16">
        <f t="shared" si="3"/>
        <v>1711.7425539198905</v>
      </c>
      <c r="P46" s="7">
        <f>Inputs!$C$6*(O46/60)^3*$E46^5*$C46</f>
        <v>855.83308207446385</v>
      </c>
      <c r="Q46" s="17">
        <f>Inputs!$C$6*(O46/60)^2*$E46^4*$B46</f>
        <v>182.9442267689036</v>
      </c>
      <c r="R46" s="16">
        <f t="shared" si="4"/>
        <v>2282.3234052265207</v>
      </c>
      <c r="S46" s="7">
        <f>Inputs!$C$6*(R46/60)^3*$E46^5*$C46</f>
        <v>2028.641379732062</v>
      </c>
      <c r="T46" s="17">
        <f>Inputs!$C$6*(R46/60)^2*$E46^4*$B46</f>
        <v>325.23418092249528</v>
      </c>
      <c r="U46" s="16">
        <f t="shared" si="5"/>
        <v>2852.9042565331506</v>
      </c>
      <c r="V46" s="7">
        <f>Inputs!$C$6*(U46/60)^3*$E46^5*$C46</f>
        <v>3962.1901947891824</v>
      </c>
      <c r="W46" s="17">
        <f>Inputs!$C$6*(U46/60)^2*$E46^4*$B46</f>
        <v>508.17840769139877</v>
      </c>
      <c r="X46" s="16">
        <f t="shared" si="6"/>
        <v>3423.485107839781</v>
      </c>
      <c r="Y46" s="7">
        <f>Inputs!$C$6*(X46/60)^3*$E46^5*$C46</f>
        <v>6846.6646565957108</v>
      </c>
      <c r="Z46" s="17">
        <f>Inputs!$C$6*(X46/60)^2*$E46^4*$B46</f>
        <v>731.77690707561442</v>
      </c>
    </row>
    <row r="47" spans="1:26">
      <c r="A47" s="16">
        <f>'Propeller Data'!A23</f>
        <v>0.25</v>
      </c>
      <c r="B47" s="7">
        <f>'Propeller Data'!B23</f>
        <v>7.6399999999999996E-2</v>
      </c>
      <c r="C47" s="7">
        <f>'Propeller Data'!C23</f>
        <v>5.62E-2</v>
      </c>
      <c r="D47" s="17">
        <f>'Propeller Sizing'!D47</f>
        <v>0.33985765124555156</v>
      </c>
      <c r="E47" s="27">
        <f t="shared" si="0"/>
        <v>0.2286</v>
      </c>
      <c r="F47" s="21">
        <v>1600</v>
      </c>
      <c r="G47" s="7">
        <f>Inputs!$C$6*(F47/60)^3*$E47^5*$C$34</f>
        <v>815.41832195397194</v>
      </c>
      <c r="H47" s="17">
        <f>Inputs!$C$6*(F47/60)^2*$E47^4*$B$34</f>
        <v>210.9949687127025</v>
      </c>
      <c r="I47" s="16">
        <f t="shared" si="1"/>
        <v>524.93438320209975</v>
      </c>
      <c r="J47" s="7">
        <f>Inputs!$C$6*(I47/60)^3*$E47^5*$C47</f>
        <v>24.082558286400001</v>
      </c>
      <c r="K47" s="17">
        <f>Inputs!$C$6*(I47/60)^2*$E47^4*$B47</f>
        <v>16.369283390400003</v>
      </c>
      <c r="L47" s="16">
        <f t="shared" si="2"/>
        <v>1049.8687664041995</v>
      </c>
      <c r="M47" s="7">
        <f>Inputs!$C$6*(L47/60)^3*$E47^5*$C47</f>
        <v>192.66046629120001</v>
      </c>
      <c r="N47" s="17">
        <f>Inputs!$C$6*(L47/60)^2*$E47^4*$B47</f>
        <v>65.477133561600013</v>
      </c>
      <c r="O47" s="16">
        <f t="shared" si="3"/>
        <v>1574.8031496062993</v>
      </c>
      <c r="P47" s="7">
        <f>Inputs!$C$6*(O47/60)^3*$E47^5*$C47</f>
        <v>650.22907373279998</v>
      </c>
      <c r="Q47" s="17">
        <f>Inputs!$C$6*(O47/60)^2*$E47^4*$B47</f>
        <v>147.32355051360003</v>
      </c>
      <c r="R47" s="16">
        <f t="shared" si="4"/>
        <v>2099.737532808399</v>
      </c>
      <c r="S47" s="7">
        <f>Inputs!$C$6*(R47/60)^3*$E47^5*$C47</f>
        <v>1541.2837303296001</v>
      </c>
      <c r="T47" s="17">
        <f>Inputs!$C$6*(R47/60)^2*$E47^4*$B47</f>
        <v>261.90853424640005</v>
      </c>
      <c r="U47" s="16">
        <f t="shared" si="5"/>
        <v>2624.6719160104985</v>
      </c>
      <c r="V47" s="7">
        <f>Inputs!$C$6*(U47/60)^3*$E47^5*$C47</f>
        <v>3010.319785799999</v>
      </c>
      <c r="W47" s="17">
        <f>Inputs!$C$6*(U47/60)^2*$E47^4*$B47</f>
        <v>409.23208475999985</v>
      </c>
      <c r="X47" s="16">
        <f t="shared" si="6"/>
        <v>3149.6062992125985</v>
      </c>
      <c r="Y47" s="7">
        <f>Inputs!$C$6*(X47/60)^3*$E47^5*$C47</f>
        <v>5201.8325898623998</v>
      </c>
      <c r="Z47" s="17">
        <f>Inputs!$C$6*(X47/60)^2*$E47^4*$B47</f>
        <v>589.2942020544001</v>
      </c>
    </row>
    <row r="48" spans="1:26">
      <c r="A48" s="16">
        <f>'Propeller Data'!A24</f>
        <v>0.26</v>
      </c>
      <c r="B48" s="7">
        <f>'Propeller Data'!B24</f>
        <v>7.2400000000000006E-2</v>
      </c>
      <c r="C48" s="7">
        <f>'Propeller Data'!C24</f>
        <v>5.4699999999999999E-2</v>
      </c>
      <c r="D48" s="17">
        <f>'Propeller Sizing'!D48</f>
        <v>0.34413162705667283</v>
      </c>
      <c r="E48" s="27">
        <f t="shared" si="0"/>
        <v>0.2286</v>
      </c>
      <c r="F48" s="21">
        <v>1500</v>
      </c>
      <c r="G48" s="7">
        <f>Inputs!$C$6*(F48/60)^3*$E48^5*$C$34</f>
        <v>671.88399330924187</v>
      </c>
      <c r="H48" s="17">
        <f>Inputs!$C$6*(F48/60)^2*$E48^4*$B$34</f>
        <v>185.44479672014864</v>
      </c>
      <c r="I48" s="16">
        <f t="shared" si="1"/>
        <v>504.74459923278818</v>
      </c>
      <c r="J48" s="7">
        <f>Inputs!$C$6*(I48/60)^3*$E48^5*$C48</f>
        <v>20.837883849425346</v>
      </c>
      <c r="K48" s="17">
        <f>Inputs!$C$6*(I48/60)^2*$E48^4*$B48</f>
        <v>14.341949747041422</v>
      </c>
      <c r="L48" s="16">
        <f t="shared" si="2"/>
        <v>1009.4891984655764</v>
      </c>
      <c r="M48" s="7">
        <f>Inputs!$C$6*(L48/60)^3*$E48^5*$C48</f>
        <v>166.70307079540277</v>
      </c>
      <c r="N48" s="17">
        <f>Inputs!$C$6*(L48/60)^2*$E48^4*$B48</f>
        <v>57.367798988165688</v>
      </c>
      <c r="O48" s="16">
        <f t="shared" si="3"/>
        <v>1514.2337976983645</v>
      </c>
      <c r="P48" s="7">
        <f>Inputs!$C$6*(O48/60)^3*$E48^5*$C48</f>
        <v>562.62286393448426</v>
      </c>
      <c r="Q48" s="17">
        <f>Inputs!$C$6*(O48/60)^2*$E48^4*$B48</f>
        <v>129.07754772337276</v>
      </c>
      <c r="R48" s="16">
        <f t="shared" si="4"/>
        <v>2018.9783969311527</v>
      </c>
      <c r="S48" s="7">
        <f>Inputs!$C$6*(R48/60)^3*$E48^5*$C48</f>
        <v>1333.6245663632221</v>
      </c>
      <c r="T48" s="17">
        <f>Inputs!$C$6*(R48/60)^2*$E48^4*$B48</f>
        <v>229.47119595266275</v>
      </c>
      <c r="U48" s="16">
        <f t="shared" si="5"/>
        <v>2523.7229961639409</v>
      </c>
      <c r="V48" s="7">
        <f>Inputs!$C$6*(U48/60)^3*$E48^5*$C48</f>
        <v>2604.7354811781688</v>
      </c>
      <c r="W48" s="17">
        <f>Inputs!$C$6*(U48/60)^2*$E48^4*$B48</f>
        <v>358.54874367603554</v>
      </c>
      <c r="X48" s="16">
        <f t="shared" si="6"/>
        <v>3028.4675953967289</v>
      </c>
      <c r="Y48" s="7">
        <f>Inputs!$C$6*(X48/60)^3*$E48^5*$C48</f>
        <v>4500.9829114758741</v>
      </c>
      <c r="Z48" s="17">
        <f>Inputs!$C$6*(X48/60)^2*$E48^4*$B48</f>
        <v>516.31019089349104</v>
      </c>
    </row>
    <row r="49" spans="1:26">
      <c r="A49" s="16">
        <f>'Propeller Data'!A25</f>
        <v>0.28000000000000003</v>
      </c>
      <c r="B49" s="7">
        <f>'Propeller Data'!B25</f>
        <v>6.8199999999999997E-2</v>
      </c>
      <c r="C49" s="7">
        <f>'Propeller Data'!C25</f>
        <v>5.3100000000000001E-2</v>
      </c>
      <c r="D49" s="17">
        <f>'Propeller Sizing'!D49</f>
        <v>0.35962335216572505</v>
      </c>
      <c r="E49" s="27">
        <f t="shared" si="0"/>
        <v>0.2286</v>
      </c>
      <c r="F49" s="21">
        <v>1400</v>
      </c>
      <c r="G49" s="7">
        <f>Inputs!$C$6*(F49/60)^3*$E49^5*$C$34</f>
        <v>546.26657115275827</v>
      </c>
      <c r="H49" s="17">
        <f>Inputs!$C$6*(F49/60)^2*$E49^4*$B$34</f>
        <v>161.54302292066282</v>
      </c>
      <c r="I49" s="16">
        <f t="shared" si="1"/>
        <v>468.69141357330329</v>
      </c>
      <c r="J49" s="7">
        <f>Inputs!$C$6*(I49/60)^3*$E49^5*$C49</f>
        <v>16.19596231493713</v>
      </c>
      <c r="K49" s="17">
        <f>Inputs!$C$6*(I49/60)^2*$E49^4*$B49</f>
        <v>11.648892518494895</v>
      </c>
      <c r="L49" s="16">
        <f t="shared" si="2"/>
        <v>937.38282714660659</v>
      </c>
      <c r="M49" s="7">
        <f>Inputs!$C$6*(L49/60)^3*$E49^5*$C49</f>
        <v>129.56769851949704</v>
      </c>
      <c r="N49" s="17">
        <f>Inputs!$C$6*(L49/60)^2*$E49^4*$B49</f>
        <v>46.59557007397958</v>
      </c>
      <c r="O49" s="16">
        <f t="shared" si="3"/>
        <v>1406.0742407199098</v>
      </c>
      <c r="P49" s="7">
        <f>Inputs!$C$6*(O49/60)^3*$E49^5*$C49</f>
        <v>437.29098250330247</v>
      </c>
      <c r="Q49" s="17">
        <f>Inputs!$C$6*(O49/60)^2*$E49^4*$B49</f>
        <v>104.84003266645405</v>
      </c>
      <c r="R49" s="16">
        <f t="shared" si="4"/>
        <v>1874.7656542932132</v>
      </c>
      <c r="S49" s="7">
        <f>Inputs!$C$6*(R49/60)^3*$E49^5*$C49</f>
        <v>1036.5415881559763</v>
      </c>
      <c r="T49" s="17">
        <f>Inputs!$C$6*(R49/60)^2*$E49^4*$B49</f>
        <v>186.38228029591832</v>
      </c>
      <c r="U49" s="16">
        <f t="shared" si="5"/>
        <v>2343.4570678665164</v>
      </c>
      <c r="V49" s="7">
        <f>Inputs!$C$6*(U49/60)^3*$E49^5*$C49</f>
        <v>2024.4952893671409</v>
      </c>
      <c r="W49" s="17">
        <f>Inputs!$C$6*(U49/60)^2*$E49^4*$B49</f>
        <v>291.22231296237237</v>
      </c>
      <c r="X49" s="16">
        <f t="shared" si="6"/>
        <v>2812.1484814398195</v>
      </c>
      <c r="Y49" s="7">
        <f>Inputs!$C$6*(X49/60)^3*$E49^5*$C49</f>
        <v>3498.3278600264198</v>
      </c>
      <c r="Z49" s="17">
        <f>Inputs!$C$6*(X49/60)^2*$E49^4*$B49</f>
        <v>419.3601306658162</v>
      </c>
    </row>
    <row r="50" spans="1:26">
      <c r="A50" s="16">
        <f>'Propeller Data'!A26</f>
        <v>0.3</v>
      </c>
      <c r="B50" s="7">
        <f>'Propeller Data'!B26</f>
        <v>6.4000000000000001E-2</v>
      </c>
      <c r="C50" s="7">
        <f>'Propeller Data'!C26</f>
        <v>5.1499999999999997E-2</v>
      </c>
      <c r="D50" s="17">
        <f>'Propeller Sizing'!D50</f>
        <v>0.37281553398058254</v>
      </c>
      <c r="E50" s="27">
        <f t="shared" si="0"/>
        <v>0.2286</v>
      </c>
      <c r="F50" s="21">
        <v>1300</v>
      </c>
      <c r="G50" s="7">
        <f>Inputs!$C$6*(F50/60)^3*$E50^5*$C$34</f>
        <v>437.37159505197184</v>
      </c>
      <c r="H50" s="17">
        <f>Inputs!$C$6*(F50/60)^2*$E50^4*$B$34</f>
        <v>139.289647314245</v>
      </c>
      <c r="I50" s="16">
        <f t="shared" si="1"/>
        <v>437.44531933508313</v>
      </c>
      <c r="J50" s="7">
        <f>Inputs!$C$6*(I50/60)^3*$E50^5*$C50</f>
        <v>12.771143812499998</v>
      </c>
      <c r="K50" s="17">
        <f>Inputs!$C$6*(I50/60)^2*$E50^4*$B50</f>
        <v>9.5225615999999995</v>
      </c>
      <c r="L50" s="16">
        <f t="shared" si="2"/>
        <v>874.89063867016625</v>
      </c>
      <c r="M50" s="7">
        <f>Inputs!$C$6*(L50/60)^3*$E50^5*$C50</f>
        <v>102.16915049999999</v>
      </c>
      <c r="N50" s="17">
        <f>Inputs!$C$6*(L50/60)^2*$E50^4*$B50</f>
        <v>38.090246399999998</v>
      </c>
      <c r="O50" s="16">
        <f t="shared" si="3"/>
        <v>1312.3359580052493</v>
      </c>
      <c r="P50" s="7">
        <f>Inputs!$C$6*(O50/60)^3*$E50^5*$C50</f>
        <v>344.82088293749985</v>
      </c>
      <c r="Q50" s="17">
        <f>Inputs!$C$6*(O50/60)^2*$E50^4*$B50</f>
        <v>85.703054399999985</v>
      </c>
      <c r="R50" s="16">
        <f t="shared" si="4"/>
        <v>1749.7812773403325</v>
      </c>
      <c r="S50" s="7">
        <f>Inputs!$C$6*(R50/60)^3*$E50^5*$C50</f>
        <v>817.35320399999989</v>
      </c>
      <c r="T50" s="17">
        <f>Inputs!$C$6*(R50/60)^2*$E50^4*$B50</f>
        <v>152.36098559999999</v>
      </c>
      <c r="U50" s="16">
        <f t="shared" si="5"/>
        <v>2187.2265966754153</v>
      </c>
      <c r="V50" s="7">
        <f>Inputs!$C$6*(U50/60)^3*$E50^5*$C50</f>
        <v>1596.3929765624991</v>
      </c>
      <c r="W50" s="17">
        <f>Inputs!$C$6*(U50/60)^2*$E50^4*$B50</f>
        <v>238.06403999999995</v>
      </c>
      <c r="X50" s="16">
        <f t="shared" si="6"/>
        <v>2624.6719160104985</v>
      </c>
      <c r="Y50" s="7">
        <f>Inputs!$C$6*(X50/60)^3*$E50^5*$C50</f>
        <v>2758.5670634999988</v>
      </c>
      <c r="Z50" s="17">
        <f>Inputs!$C$6*(X50/60)^2*$E50^4*$B50</f>
        <v>342.81221759999994</v>
      </c>
    </row>
    <row r="51" spans="1:26">
      <c r="A51" s="16">
        <f>'Propeller Data'!A27</f>
        <v>0.32</v>
      </c>
      <c r="B51" s="7">
        <f>'Propeller Data'!B27</f>
        <v>5.9900000000000002E-2</v>
      </c>
      <c r="C51" s="7">
        <f>'Propeller Data'!C27</f>
        <v>4.99E-2</v>
      </c>
      <c r="D51" s="17">
        <f>'Propeller Sizing'!D51</f>
        <v>0.38412825651302607</v>
      </c>
      <c r="E51" s="27">
        <f t="shared" si="0"/>
        <v>0.2286</v>
      </c>
      <c r="F51" s="21">
        <v>1200</v>
      </c>
      <c r="G51" s="7">
        <f>Inputs!$C$6*(F51/60)^3*$E51^5*$C$34</f>
        <v>344.00460457433184</v>
      </c>
      <c r="H51" s="17">
        <f>Inputs!$C$6*(F51/60)^2*$E51^4*$B$34</f>
        <v>118.68466990089514</v>
      </c>
      <c r="I51" s="16">
        <f t="shared" si="1"/>
        <v>410.10498687664045</v>
      </c>
      <c r="J51" s="7">
        <f>Inputs!$C$6*(I51/60)^3*$E51^5*$C51</f>
        <v>10.196167026901245</v>
      </c>
      <c r="K51" s="17">
        <f>Inputs!$C$6*(I51/60)^2*$E51^4*$B51</f>
        <v>7.8332717263183609</v>
      </c>
      <c r="L51" s="16">
        <f t="shared" si="2"/>
        <v>820.20997375328091</v>
      </c>
      <c r="M51" s="7">
        <f>Inputs!$C$6*(L51/60)^3*$E51^5*$C51</f>
        <v>81.569336215209958</v>
      </c>
      <c r="N51" s="17">
        <f>Inputs!$C$6*(L51/60)^2*$E51^4*$B51</f>
        <v>31.333086905273444</v>
      </c>
      <c r="O51" s="16">
        <f t="shared" si="3"/>
        <v>1230.3149606299214</v>
      </c>
      <c r="P51" s="7">
        <f>Inputs!$C$6*(O51/60)^3*$E51^5*$C51</f>
        <v>275.29650972633368</v>
      </c>
      <c r="Q51" s="17">
        <f>Inputs!$C$6*(O51/60)^2*$E51^4*$B51</f>
        <v>70.499445536865252</v>
      </c>
      <c r="R51" s="16">
        <f t="shared" si="4"/>
        <v>1640.4199475065618</v>
      </c>
      <c r="S51" s="7">
        <f>Inputs!$C$6*(R51/60)^3*$E51^5*$C51</f>
        <v>652.55468972167967</v>
      </c>
      <c r="T51" s="17">
        <f>Inputs!$C$6*(R51/60)^2*$E51^4*$B51</f>
        <v>125.33234762109377</v>
      </c>
      <c r="U51" s="16">
        <f t="shared" si="5"/>
        <v>2050.5249343832024</v>
      </c>
      <c r="V51" s="7">
        <f>Inputs!$C$6*(U51/60)^3*$E51^5*$C51</f>
        <v>1274.520878362656</v>
      </c>
      <c r="W51" s="17">
        <f>Inputs!$C$6*(U51/60)^2*$E51^4*$B51</f>
        <v>195.83179315795903</v>
      </c>
      <c r="X51" s="16">
        <f t="shared" si="6"/>
        <v>2460.6299212598428</v>
      </c>
      <c r="Y51" s="7">
        <f>Inputs!$C$6*(X51/60)^3*$E51^5*$C51</f>
        <v>2202.3720778106695</v>
      </c>
      <c r="Z51" s="17">
        <f>Inputs!$C$6*(X51/60)^2*$E51^4*$B51</f>
        <v>281.99778214746101</v>
      </c>
    </row>
    <row r="52" spans="1:26">
      <c r="A52" s="16">
        <f>'Propeller Data'!A28</f>
        <v>0.34</v>
      </c>
      <c r="B52" s="7">
        <f>'Propeller Data'!B28</f>
        <v>5.57E-2</v>
      </c>
      <c r="C52" s="7">
        <f>'Propeller Data'!C28</f>
        <v>4.8300000000000003E-2</v>
      </c>
      <c r="D52" s="17">
        <f>'Propeller Sizing'!D52</f>
        <v>0.39209109730848857</v>
      </c>
      <c r="E52" s="27">
        <f t="shared" si="0"/>
        <v>0.2286</v>
      </c>
      <c r="F52" s="21">
        <v>1100</v>
      </c>
      <c r="G52" s="7">
        <f>Inputs!$C$6*(F52/60)^3*$E52^5*$C$34</f>
        <v>264.97113928728913</v>
      </c>
      <c r="H52" s="17">
        <f>Inputs!$C$6*(F52/60)^2*$E52^4*$B$34</f>
        <v>99.728090680613278</v>
      </c>
      <c r="I52" s="16">
        <f t="shared" si="1"/>
        <v>385.98116411919096</v>
      </c>
      <c r="J52" s="7">
        <f>Inputs!$C$6*(I52/60)^3*$E52^5*$C52</f>
        <v>8.22804598355129</v>
      </c>
      <c r="K52" s="17">
        <f>Inputs!$C$6*(I52/60)^2*$E52^4*$B52</f>
        <v>6.452287156790657</v>
      </c>
      <c r="L52" s="16">
        <f t="shared" si="2"/>
        <v>771.96232823838193</v>
      </c>
      <c r="M52" s="7">
        <f>Inputs!$C$6*(L52/60)^3*$E52^5*$C52</f>
        <v>65.82436786841032</v>
      </c>
      <c r="N52" s="17">
        <f>Inputs!$C$6*(L52/60)^2*$E52^4*$B52</f>
        <v>25.809148627162628</v>
      </c>
      <c r="O52" s="16">
        <f t="shared" si="3"/>
        <v>1157.9434923575729</v>
      </c>
      <c r="P52" s="7">
        <f>Inputs!$C$6*(O52/60)^3*$E52^5*$C52</f>
        <v>222.15724155588495</v>
      </c>
      <c r="Q52" s="17">
        <f>Inputs!$C$6*(O52/60)^2*$E52^4*$B52</f>
        <v>58.070584411115931</v>
      </c>
      <c r="R52" s="16">
        <f t="shared" si="4"/>
        <v>1543.9246564767639</v>
      </c>
      <c r="S52" s="7">
        <f>Inputs!$C$6*(R52/60)^3*$E52^5*$C52</f>
        <v>526.59494294728256</v>
      </c>
      <c r="T52" s="17">
        <f>Inputs!$C$6*(R52/60)^2*$E52^4*$B52</f>
        <v>103.23659450865051</v>
      </c>
      <c r="U52" s="16">
        <f t="shared" si="5"/>
        <v>1929.905820595955</v>
      </c>
      <c r="V52" s="7">
        <f>Inputs!$C$6*(U52/60)^3*$E52^5*$C52</f>
        <v>1028.5057479439113</v>
      </c>
      <c r="W52" s="17">
        <f>Inputs!$C$6*(U52/60)^2*$E52^4*$B52</f>
        <v>161.30717891976644</v>
      </c>
      <c r="X52" s="16">
        <f t="shared" si="6"/>
        <v>2315.8869847151459</v>
      </c>
      <c r="Y52" s="7">
        <f>Inputs!$C$6*(X52/60)^3*$E52^5*$C52</f>
        <v>1777.2579324470796</v>
      </c>
      <c r="Z52" s="17">
        <f>Inputs!$C$6*(X52/60)^2*$E52^4*$B52</f>
        <v>232.28233764446372</v>
      </c>
    </row>
    <row r="53" spans="1:26">
      <c r="A53" s="16">
        <f>'Propeller Data'!A29</f>
        <v>0.36</v>
      </c>
      <c r="B53" s="7">
        <f>'Propeller Data'!B29</f>
        <v>5.1700000000000003E-2</v>
      </c>
      <c r="C53" s="7">
        <f>'Propeller Data'!C29</f>
        <v>4.6800000000000001E-2</v>
      </c>
      <c r="D53" s="17">
        <f>'Propeller Sizing'!D53</f>
        <v>0.39769230769230768</v>
      </c>
      <c r="E53" s="27">
        <f t="shared" si="0"/>
        <v>0.2286</v>
      </c>
      <c r="F53" s="21">
        <v>1000</v>
      </c>
      <c r="G53" s="7">
        <f>Inputs!$C$6*(F53/60)^3*$E53^5*$C$34</f>
        <v>199.07673875829391</v>
      </c>
      <c r="H53" s="17">
        <f>Inputs!$C$6*(F53/60)^2*$E53^4*$B$34</f>
        <v>82.419909653399415</v>
      </c>
      <c r="I53" s="16">
        <f t="shared" si="1"/>
        <v>364.53776611256927</v>
      </c>
      <c r="J53" s="7">
        <f>Inputs!$C$6*(I53/60)^3*$E53^5*$C53</f>
        <v>6.7162164062500009</v>
      </c>
      <c r="K53" s="17">
        <f>Inputs!$C$6*(I53/60)^2*$E53^4*$B53</f>
        <v>5.341975203125001</v>
      </c>
      <c r="L53" s="16">
        <f t="shared" si="2"/>
        <v>729.07553222513855</v>
      </c>
      <c r="M53" s="7">
        <f>Inputs!$C$6*(L53/60)^3*$E53^5*$C53</f>
        <v>53.729731250000007</v>
      </c>
      <c r="N53" s="17">
        <f>Inputs!$C$6*(L53/60)^2*$E53^4*$B53</f>
        <v>21.367900812500004</v>
      </c>
      <c r="O53" s="16">
        <f t="shared" si="3"/>
        <v>1093.6132983377079</v>
      </c>
      <c r="P53" s="7">
        <f>Inputs!$C$6*(O53/60)^3*$E53^5*$C53</f>
        <v>181.33784296875001</v>
      </c>
      <c r="Q53" s="17">
        <f>Inputs!$C$6*(O53/60)^2*$E53^4*$B53</f>
        <v>48.077776828125003</v>
      </c>
      <c r="R53" s="16">
        <f t="shared" si="4"/>
        <v>1458.1510644502771</v>
      </c>
      <c r="S53" s="7">
        <f>Inputs!$C$6*(R53/60)^3*$E53^5*$C53</f>
        <v>429.83785000000006</v>
      </c>
      <c r="T53" s="17">
        <f>Inputs!$C$6*(R53/60)^2*$E53^4*$B53</f>
        <v>85.471603250000015</v>
      </c>
      <c r="U53" s="16">
        <f t="shared" si="5"/>
        <v>1822.6888305628465</v>
      </c>
      <c r="V53" s="7">
        <f>Inputs!$C$6*(U53/60)^3*$E53^5*$C53</f>
        <v>839.52705078125018</v>
      </c>
      <c r="W53" s="17">
        <f>Inputs!$C$6*(U53/60)^2*$E53^4*$B53</f>
        <v>133.54938007812504</v>
      </c>
      <c r="X53" s="16">
        <f t="shared" si="6"/>
        <v>2187.2265966754157</v>
      </c>
      <c r="Y53" s="7">
        <f>Inputs!$C$6*(X53/60)^3*$E53^5*$C53</f>
        <v>1450.7027437500001</v>
      </c>
      <c r="Z53" s="17">
        <f>Inputs!$C$6*(X53/60)^2*$E53^4*$B53</f>
        <v>192.31110731250001</v>
      </c>
    </row>
    <row r="54" spans="1:26">
      <c r="A54" s="16">
        <f>'Propeller Data'!A30</f>
        <v>0.38</v>
      </c>
      <c r="B54" s="7">
        <f>'Propeller Data'!B30</f>
        <v>4.7600000000000003E-2</v>
      </c>
      <c r="C54" s="7">
        <f>'Propeller Data'!C30</f>
        <v>4.5600000000000002E-2</v>
      </c>
      <c r="D54" s="17">
        <f>'Propeller Sizing'!D54</f>
        <v>0.39666666666666667</v>
      </c>
      <c r="E54" s="27">
        <f t="shared" si="0"/>
        <v>0.2286</v>
      </c>
      <c r="F54" s="21">
        <v>900</v>
      </c>
      <c r="G54" s="7">
        <f>Inputs!$C$6*(F54/60)^3*$E54^5*$C$34</f>
        <v>145.12694255479627</v>
      </c>
      <c r="H54" s="17">
        <f>Inputs!$C$6*(F54/60)^2*$E54^4*$B$34</f>
        <v>66.760126819253514</v>
      </c>
      <c r="I54" s="16">
        <f t="shared" si="1"/>
        <v>345.35156789611824</v>
      </c>
      <c r="J54" s="7">
        <f>Inputs!$C$6*(I54/60)^3*$E54^5*$C54</f>
        <v>5.5641699099722972</v>
      </c>
      <c r="K54" s="17">
        <f>Inputs!$C$6*(I54/60)^2*$E54^4*$B54</f>
        <v>4.4142414619113568</v>
      </c>
      <c r="L54" s="16">
        <f t="shared" si="2"/>
        <v>690.70313579223648</v>
      </c>
      <c r="M54" s="7">
        <f>Inputs!$C$6*(L54/60)^3*$E54^5*$C54</f>
        <v>44.513359279778378</v>
      </c>
      <c r="N54" s="17">
        <f>Inputs!$C$6*(L54/60)^2*$E54^4*$B54</f>
        <v>17.656965847645427</v>
      </c>
      <c r="O54" s="16">
        <f t="shared" si="3"/>
        <v>1036.0547036883547</v>
      </c>
      <c r="P54" s="7">
        <f>Inputs!$C$6*(O54/60)^3*$E54^5*$C54</f>
        <v>150.23258756925208</v>
      </c>
      <c r="Q54" s="17">
        <f>Inputs!$C$6*(O54/60)^2*$E54^4*$B54</f>
        <v>39.728173157202214</v>
      </c>
      <c r="R54" s="16">
        <f t="shared" si="4"/>
        <v>1381.406271584473</v>
      </c>
      <c r="S54" s="7">
        <f>Inputs!$C$6*(R54/60)^3*$E54^5*$C54</f>
        <v>356.10687423822702</v>
      </c>
      <c r="T54" s="17">
        <f>Inputs!$C$6*(R54/60)^2*$E54^4*$B54</f>
        <v>70.627863390581709</v>
      </c>
      <c r="U54" s="16">
        <f t="shared" si="5"/>
        <v>1726.7578394805912</v>
      </c>
      <c r="V54" s="7">
        <f>Inputs!$C$6*(U54/60)^3*$E54^5*$C54</f>
        <v>695.52123874653728</v>
      </c>
      <c r="W54" s="17">
        <f>Inputs!$C$6*(U54/60)^2*$E54^4*$B54</f>
        <v>110.35603654778393</v>
      </c>
      <c r="X54" s="16">
        <f t="shared" si="6"/>
        <v>2072.1094073767094</v>
      </c>
      <c r="Y54" s="7">
        <f>Inputs!$C$6*(X54/60)^3*$E54^5*$C54</f>
        <v>1201.8607005540166</v>
      </c>
      <c r="Z54" s="17">
        <f>Inputs!$C$6*(X54/60)^2*$E54^4*$B54</f>
        <v>158.91269262880886</v>
      </c>
    </row>
    <row r="55" spans="1:26">
      <c r="A55" s="16">
        <f>'Propeller Data'!A31</f>
        <v>0.4</v>
      </c>
      <c r="B55" s="7">
        <f>'Propeller Data'!B31</f>
        <v>4.3499999999999997E-2</v>
      </c>
      <c r="C55" s="7">
        <f>'Propeller Data'!C31</f>
        <v>4.48E-2</v>
      </c>
      <c r="D55" s="17">
        <f>'Propeller Sizing'!D55</f>
        <v>0.3883928571428571</v>
      </c>
      <c r="E55" s="27">
        <f t="shared" si="0"/>
        <v>0.2286</v>
      </c>
      <c r="F55" s="21">
        <v>800</v>
      </c>
      <c r="G55" s="7">
        <f>Inputs!$C$6*(F55/60)^3*$E55^5*$C$34</f>
        <v>101.92729024424649</v>
      </c>
      <c r="H55" s="17">
        <f>Inputs!$C$6*(F55/60)^2*$E55^4*$B$34</f>
        <v>52.748742178175625</v>
      </c>
      <c r="I55" s="16">
        <f t="shared" si="1"/>
        <v>328.08398950131232</v>
      </c>
      <c r="J55" s="7">
        <f>Inputs!$C$6*(I55/60)^3*$E55^5*$C55</f>
        <v>4.6868857874999978</v>
      </c>
      <c r="K55" s="17">
        <f>Inputs!$C$6*(I55/60)^2*$E55^4*$B55</f>
        <v>3.6407059242187487</v>
      </c>
      <c r="L55" s="16">
        <f t="shared" si="2"/>
        <v>656.16797900262463</v>
      </c>
      <c r="M55" s="7">
        <f>Inputs!$C$6*(L55/60)^3*$E55^5*$C55</f>
        <v>37.495086299999983</v>
      </c>
      <c r="N55" s="17">
        <f>Inputs!$C$6*(L55/60)^2*$E55^4*$B55</f>
        <v>14.562823696874995</v>
      </c>
      <c r="O55" s="16">
        <f t="shared" si="3"/>
        <v>984.25196850393695</v>
      </c>
      <c r="P55" s="7">
        <f>Inputs!$C$6*(O55/60)^3*$E55^5*$C55</f>
        <v>126.5459162625</v>
      </c>
      <c r="Q55" s="17">
        <f>Inputs!$C$6*(O55/60)^2*$E55^4*$B55</f>
        <v>32.766353317968751</v>
      </c>
      <c r="R55" s="16">
        <f t="shared" si="4"/>
        <v>1312.3359580052493</v>
      </c>
      <c r="S55" s="7">
        <f>Inputs!$C$6*(R55/60)^3*$E55^5*$C55</f>
        <v>299.96069039999986</v>
      </c>
      <c r="T55" s="17">
        <f>Inputs!$C$6*(R55/60)^2*$E55^4*$B55</f>
        <v>58.25129478749998</v>
      </c>
      <c r="U55" s="16">
        <f t="shared" si="5"/>
        <v>1640.4199475065616</v>
      </c>
      <c r="V55" s="7">
        <f>Inputs!$C$6*(U55/60)^3*$E55^5*$C55</f>
        <v>585.8607234374997</v>
      </c>
      <c r="W55" s="17">
        <f>Inputs!$C$6*(U55/60)^2*$E55^4*$B55</f>
        <v>91.017648105468723</v>
      </c>
      <c r="X55" s="16">
        <f t="shared" si="6"/>
        <v>1968.5039370078739</v>
      </c>
      <c r="Y55" s="7">
        <f>Inputs!$C$6*(X55/60)^3*$E55^5*$C55</f>
        <v>1012.3673301</v>
      </c>
      <c r="Z55" s="17">
        <f>Inputs!$C$6*(X55/60)^2*$E55^4*$B55</f>
        <v>131.065413271875</v>
      </c>
    </row>
    <row r="56" spans="1:26">
      <c r="A56" s="16">
        <f>'Propeller Data'!A32</f>
        <v>0.42</v>
      </c>
      <c r="B56" s="7">
        <f>'Propeller Data'!B32</f>
        <v>3.8800000000000001E-2</v>
      </c>
      <c r="C56" s="7">
        <f>'Propeller Data'!C32</f>
        <v>4.36E-2</v>
      </c>
      <c r="D56" s="17">
        <f>'Propeller Sizing'!D56</f>
        <v>0.37376146788990827</v>
      </c>
      <c r="E56" s="27">
        <f t="shared" si="0"/>
        <v>0.2286</v>
      </c>
      <c r="F56" s="21">
        <v>700</v>
      </c>
      <c r="G56" s="7">
        <f>Inputs!$C$6*(F56/60)^3*$E56^5*$C$34</f>
        <v>68.283321394094784</v>
      </c>
      <c r="H56" s="17">
        <f>Inputs!$C$6*(F56/60)^2*$E56^4*$B$34</f>
        <v>40.385755730165705</v>
      </c>
      <c r="I56" s="16">
        <f t="shared" si="1"/>
        <v>312.46094238220223</v>
      </c>
      <c r="J56" s="7">
        <f>Inputs!$C$6*(I56/60)^3*$E56^5*$C56</f>
        <v>3.9402606231778425</v>
      </c>
      <c r="K56" s="17">
        <f>Inputs!$C$6*(I56/60)^2*$E56^4*$B56</f>
        <v>2.9454351887755101</v>
      </c>
      <c r="L56" s="16">
        <f t="shared" si="2"/>
        <v>624.92188476440447</v>
      </c>
      <c r="M56" s="7">
        <f>Inputs!$C$6*(L56/60)^3*$E56^5*$C56</f>
        <v>31.52208498542274</v>
      </c>
      <c r="N56" s="17">
        <f>Inputs!$C$6*(L56/60)^2*$E56^4*$B56</f>
        <v>11.781740755102041</v>
      </c>
      <c r="O56" s="16">
        <f t="shared" si="3"/>
        <v>937.3828271466067</v>
      </c>
      <c r="P56" s="7">
        <f>Inputs!$C$6*(O56/60)^3*$E56^5*$C56</f>
        <v>106.38703682580174</v>
      </c>
      <c r="Q56" s="17">
        <f>Inputs!$C$6*(O56/60)^2*$E56^4*$B56</f>
        <v>26.508916698979593</v>
      </c>
      <c r="R56" s="16">
        <f t="shared" si="4"/>
        <v>1249.8437695288089</v>
      </c>
      <c r="S56" s="7">
        <f>Inputs!$C$6*(R56/60)^3*$E56^5*$C56</f>
        <v>252.17667988338192</v>
      </c>
      <c r="T56" s="17">
        <f>Inputs!$C$6*(R56/60)^2*$E56^4*$B56</f>
        <v>47.126963020408162</v>
      </c>
      <c r="U56" s="16">
        <f t="shared" si="5"/>
        <v>1562.3047119110111</v>
      </c>
      <c r="V56" s="7">
        <f>Inputs!$C$6*(U56/60)^3*$E56^5*$C56</f>
        <v>492.53257789723023</v>
      </c>
      <c r="W56" s="17">
        <f>Inputs!$C$6*(U56/60)^2*$E56^4*$B56</f>
        <v>73.635879719387745</v>
      </c>
      <c r="X56" s="16">
        <f t="shared" si="6"/>
        <v>1874.7656542932134</v>
      </c>
      <c r="Y56" s="7">
        <f>Inputs!$C$6*(X56/60)^3*$E56^5*$C56</f>
        <v>851.09629460641395</v>
      </c>
      <c r="Z56" s="17">
        <f>Inputs!$C$6*(X56/60)^2*$E56^4*$B56</f>
        <v>106.03566679591837</v>
      </c>
    </row>
    <row r="57" spans="1:26">
      <c r="A57" s="16">
        <f>'Propeller Data'!A33</f>
        <v>0.43</v>
      </c>
      <c r="B57" s="7">
        <f>'Propeller Data'!B33</f>
        <v>3.3700000000000001E-2</v>
      </c>
      <c r="C57" s="7">
        <f>'Propeller Data'!C33</f>
        <v>4.1799999999999997E-2</v>
      </c>
      <c r="D57" s="17">
        <f>'Propeller Sizing'!D57</f>
        <v>0.34667464114832541</v>
      </c>
      <c r="E57" s="27">
        <f t="shared" si="0"/>
        <v>0.2286</v>
      </c>
      <c r="F57" s="21">
        <v>600</v>
      </c>
      <c r="G57" s="7">
        <f>Inputs!$C$6*(F57/60)^3*$E57^5*$C$34</f>
        <v>43.000575571791479</v>
      </c>
      <c r="H57" s="17">
        <f>Inputs!$C$6*(F57/60)^2*$E57^4*$B$34</f>
        <v>29.671167475223786</v>
      </c>
      <c r="I57" s="16">
        <f t="shared" si="1"/>
        <v>305.19440883843009</v>
      </c>
      <c r="J57" s="7">
        <f>Inputs!$C$6*(I57/60)^3*$E57^5*$C57</f>
        <v>3.5201181911655572</v>
      </c>
      <c r="K57" s="17">
        <f>Inputs!$C$6*(I57/60)^2*$E57^4*$B57</f>
        <v>2.4406714214440242</v>
      </c>
      <c r="L57" s="16">
        <f t="shared" si="2"/>
        <v>610.38881767686019</v>
      </c>
      <c r="M57" s="7">
        <f>Inputs!$C$6*(L57/60)^3*$E57^5*$C57</f>
        <v>28.160945529324458</v>
      </c>
      <c r="N57" s="17">
        <f>Inputs!$C$6*(L57/60)^2*$E57^4*$B57</f>
        <v>9.7626856857760966</v>
      </c>
      <c r="O57" s="16">
        <f t="shared" si="3"/>
        <v>915.58322651529022</v>
      </c>
      <c r="P57" s="7">
        <f>Inputs!$C$6*(O57/60)^3*$E57^5*$C57</f>
        <v>95.043191161470048</v>
      </c>
      <c r="Q57" s="17">
        <f>Inputs!$C$6*(O57/60)^2*$E57^4*$B57</f>
        <v>21.966042792996213</v>
      </c>
      <c r="R57" s="16">
        <f t="shared" si="4"/>
        <v>1220.7776353537204</v>
      </c>
      <c r="S57" s="7">
        <f>Inputs!$C$6*(R57/60)^3*$E57^5*$C57</f>
        <v>225.28756423459566</v>
      </c>
      <c r="T57" s="17">
        <f>Inputs!$C$6*(R57/60)^2*$E57^4*$B57</f>
        <v>39.050742743104387</v>
      </c>
      <c r="U57" s="16">
        <f t="shared" si="5"/>
        <v>1525.9720441921504</v>
      </c>
      <c r="V57" s="7">
        <f>Inputs!$C$6*(U57/60)^3*$E57^5*$C57</f>
        <v>440.01477389569482</v>
      </c>
      <c r="W57" s="17">
        <f>Inputs!$C$6*(U57/60)^2*$E57^4*$B57</f>
        <v>61.016785536100606</v>
      </c>
      <c r="X57" s="16">
        <f t="shared" si="6"/>
        <v>1831.1664530305804</v>
      </c>
      <c r="Y57" s="7">
        <f>Inputs!$C$6*(X57/60)^3*$E57^5*$C57</f>
        <v>760.34552929176039</v>
      </c>
      <c r="Z57" s="17">
        <f>Inputs!$C$6*(X57/60)^2*$E57^4*$B57</f>
        <v>87.86417117198485</v>
      </c>
    </row>
    <row r="58" spans="1:26">
      <c r="A58" s="16">
        <f>'Propeller Data'!A34</f>
        <v>0.45</v>
      </c>
      <c r="B58" s="7">
        <f>'Propeller Data'!B34</f>
        <v>2.8500000000000001E-2</v>
      </c>
      <c r="C58" s="7">
        <f>'Propeller Data'!C34</f>
        <v>4.0099999999999997E-2</v>
      </c>
      <c r="D58" s="17">
        <f>'Propeller Sizing'!D58</f>
        <v>0.31982543640897759</v>
      </c>
      <c r="E58" s="27">
        <f t="shared" si="0"/>
        <v>0.2286</v>
      </c>
      <c r="F58" s="21">
        <v>500</v>
      </c>
      <c r="G58" s="7">
        <f>Inputs!$C$6*(F58/60)^3*$E58^5*$C$34</f>
        <v>24.884592344786739</v>
      </c>
      <c r="H58" s="17">
        <f>Inputs!$C$6*(F58/60)^2*$E58^4*$B$34</f>
        <v>20.604977413349854</v>
      </c>
      <c r="I58" s="16">
        <f t="shared" si="1"/>
        <v>291.63021289005542</v>
      </c>
      <c r="J58" s="7">
        <f>Inputs!$C$6*(I58/60)^3*$E58^5*$C58</f>
        <v>2.9464098777777772</v>
      </c>
      <c r="K58" s="17">
        <f>Inputs!$C$6*(I58/60)^2*$E58^4*$B58</f>
        <v>1.8846736500000001</v>
      </c>
      <c r="L58" s="16">
        <f t="shared" si="2"/>
        <v>583.26042578011084</v>
      </c>
      <c r="M58" s="7">
        <f>Inputs!$C$6*(L58/60)^3*$E58^5*$C58</f>
        <v>23.571279022222217</v>
      </c>
      <c r="N58" s="17">
        <f>Inputs!$C$6*(L58/60)^2*$E58^4*$B58</f>
        <v>7.5386946000000004</v>
      </c>
      <c r="O58" s="16">
        <f t="shared" si="3"/>
        <v>874.89063867016625</v>
      </c>
      <c r="P58" s="7">
        <f>Inputs!$C$6*(O58/60)^3*$E58^5*$C58</f>
        <v>79.553066699999988</v>
      </c>
      <c r="Q58" s="17">
        <f>Inputs!$C$6*(O58/60)^2*$E58^4*$B58</f>
        <v>16.962062849999999</v>
      </c>
      <c r="R58" s="16">
        <f t="shared" si="4"/>
        <v>1166.5208515602217</v>
      </c>
      <c r="S58" s="7">
        <f>Inputs!$C$6*(R58/60)^3*$E58^5*$C58</f>
        <v>188.57023217777774</v>
      </c>
      <c r="T58" s="17">
        <f>Inputs!$C$6*(R58/60)^2*$E58^4*$B58</f>
        <v>30.154778400000001</v>
      </c>
      <c r="U58" s="16">
        <f t="shared" si="5"/>
        <v>1458.1510644502771</v>
      </c>
      <c r="V58" s="7">
        <f>Inputs!$C$6*(U58/60)^3*$E58^5*$C58</f>
        <v>368.3012347222222</v>
      </c>
      <c r="W58" s="17">
        <f>Inputs!$C$6*(U58/60)^2*$E58^4*$B58</f>
        <v>47.116841250000007</v>
      </c>
      <c r="X58" s="16">
        <f t="shared" si="6"/>
        <v>1749.7812773403325</v>
      </c>
      <c r="Y58" s="7">
        <f>Inputs!$C$6*(X58/60)^3*$E58^5*$C58</f>
        <v>636.4245335999999</v>
      </c>
      <c r="Z58" s="17">
        <f>Inputs!$C$6*(X58/60)^2*$E58^4*$B58</f>
        <v>67.848251399999995</v>
      </c>
    </row>
    <row r="59" spans="1:26">
      <c r="A59" s="16">
        <f>'Propeller Data'!A35</f>
        <v>0.47</v>
      </c>
      <c r="B59" s="7">
        <f>'Propeller Data'!B35</f>
        <v>2.3E-2</v>
      </c>
      <c r="C59" s="7">
        <f>'Propeller Data'!C35</f>
        <v>3.7900000000000003E-2</v>
      </c>
      <c r="D59" s="17">
        <f>'Propeller Sizing'!D59</f>
        <v>0.28522427440633241</v>
      </c>
      <c r="E59" s="27">
        <f t="shared" si="0"/>
        <v>0.2286</v>
      </c>
      <c r="F59" s="21">
        <v>400</v>
      </c>
      <c r="G59" s="7">
        <f>Inputs!$C$6*(F59/60)^3*$E59^5*$C$34</f>
        <v>12.740911280530812</v>
      </c>
      <c r="H59" s="17">
        <f>Inputs!$C$6*(F59/60)^2*$E59^4*$B$34</f>
        <v>13.187185544543906</v>
      </c>
      <c r="I59" s="16">
        <f t="shared" si="1"/>
        <v>279.22041659686158</v>
      </c>
      <c r="J59" s="7">
        <f>Inputs!$C$6*(I59/60)^3*$E59^5*$C59</f>
        <v>2.4441731373346944</v>
      </c>
      <c r="K59" s="17">
        <f>Inputs!$C$6*(I59/60)^2*$E59^4*$B59</f>
        <v>1.3942750192394748</v>
      </c>
      <c r="L59" s="16">
        <f t="shared" si="2"/>
        <v>558.44083319372317</v>
      </c>
      <c r="M59" s="7">
        <f>Inputs!$C$6*(L59/60)^3*$E59^5*$C59</f>
        <v>19.553385098677555</v>
      </c>
      <c r="N59" s="17">
        <f>Inputs!$C$6*(L59/60)^2*$E59^4*$B59</f>
        <v>5.5771000769578993</v>
      </c>
      <c r="O59" s="16">
        <f t="shared" si="3"/>
        <v>837.66124979058475</v>
      </c>
      <c r="P59" s="7">
        <f>Inputs!$C$6*(O59/60)^3*$E59^5*$C59</f>
        <v>65.992674708036773</v>
      </c>
      <c r="Q59" s="17">
        <f>Inputs!$C$6*(O59/60)^2*$E59^4*$B59</f>
        <v>12.548475173155277</v>
      </c>
      <c r="R59" s="16">
        <f t="shared" si="4"/>
        <v>1116.8816663874463</v>
      </c>
      <c r="S59" s="7">
        <f>Inputs!$C$6*(R59/60)^3*$E59^5*$C59</f>
        <v>156.42708078942044</v>
      </c>
      <c r="T59" s="17">
        <f>Inputs!$C$6*(R59/60)^2*$E59^4*$B59</f>
        <v>22.308400307831597</v>
      </c>
      <c r="U59" s="16">
        <f t="shared" si="5"/>
        <v>1396.1020829843078</v>
      </c>
      <c r="V59" s="7">
        <f>Inputs!$C$6*(U59/60)^3*$E59^5*$C59</f>
        <v>305.52164216683684</v>
      </c>
      <c r="W59" s="17">
        <f>Inputs!$C$6*(U59/60)^2*$E59^4*$B59</f>
        <v>34.856875480986879</v>
      </c>
      <c r="X59" s="16">
        <f t="shared" si="6"/>
        <v>1675.3224995811695</v>
      </c>
      <c r="Y59" s="7">
        <f>Inputs!$C$6*(X59/60)^3*$E59^5*$C59</f>
        <v>527.94139766429419</v>
      </c>
      <c r="Z59" s="17">
        <f>Inputs!$C$6*(X59/60)^2*$E59^4*$B59</f>
        <v>50.193900692621106</v>
      </c>
    </row>
    <row r="60" spans="1:26">
      <c r="A60" s="16">
        <f>'Propeller Data'!A36</f>
        <v>0.49</v>
      </c>
      <c r="B60" s="7">
        <f>'Propeller Data'!B36</f>
        <v>1.7399999999999999E-2</v>
      </c>
      <c r="C60" s="7">
        <f>'Propeller Data'!C36</f>
        <v>3.5700000000000003E-2</v>
      </c>
      <c r="D60" s="17">
        <f>'Propeller Sizing'!D60</f>
        <v>0.23882352941176466</v>
      </c>
      <c r="E60" s="27">
        <f t="shared" si="0"/>
        <v>0.2286</v>
      </c>
      <c r="F60" s="21">
        <v>300</v>
      </c>
      <c r="G60" s="7">
        <f>Inputs!$C$6*(F60/60)^3*$E60^5*$C$34</f>
        <v>5.3750719464739349</v>
      </c>
      <c r="H60" s="17">
        <f>Inputs!$C$6*(F60/60)^2*$E60^4*$B$34</f>
        <v>7.4177918688059465</v>
      </c>
      <c r="I60" s="16">
        <f t="shared" si="1"/>
        <v>267.82366489903046</v>
      </c>
      <c r="J60" s="7">
        <f>Inputs!$C$6*(I60/60)^3*$E60^5*$C60</f>
        <v>2.0317314653120713</v>
      </c>
      <c r="K60" s="17">
        <f>Inputs!$C$6*(I60/60)^2*$E60^4*$B60</f>
        <v>0.97045055872553065</v>
      </c>
      <c r="L60" s="16">
        <f t="shared" si="2"/>
        <v>535.64732979806092</v>
      </c>
      <c r="M60" s="7">
        <f>Inputs!$C$6*(L60/60)^3*$E60^5*$C60</f>
        <v>16.25385172249657</v>
      </c>
      <c r="N60" s="17">
        <f>Inputs!$C$6*(L60/60)^2*$E60^4*$B60</f>
        <v>3.8818022349021226</v>
      </c>
      <c r="O60" s="16">
        <f t="shared" si="3"/>
        <v>803.47099469709144</v>
      </c>
      <c r="P60" s="7">
        <f>Inputs!$C$6*(O60/60)^3*$E60^5*$C60</f>
        <v>54.856749563425957</v>
      </c>
      <c r="Q60" s="17">
        <f>Inputs!$C$6*(O60/60)^2*$E60^4*$B60</f>
        <v>8.7340550285297773</v>
      </c>
      <c r="R60" s="16">
        <f t="shared" si="4"/>
        <v>1071.2946595961218</v>
      </c>
      <c r="S60" s="7">
        <f>Inputs!$C$6*(R60/60)^3*$E60^5*$C60</f>
        <v>130.03081377997256</v>
      </c>
      <c r="T60" s="17">
        <f>Inputs!$C$6*(R60/60)^2*$E60^4*$B60</f>
        <v>15.52720893960849</v>
      </c>
      <c r="U60" s="16">
        <f t="shared" si="5"/>
        <v>1339.1183244951524</v>
      </c>
      <c r="V60" s="7">
        <f>Inputs!$C$6*(U60/60)^3*$E60^5*$C60</f>
        <v>253.966433164009</v>
      </c>
      <c r="W60" s="17">
        <f>Inputs!$C$6*(U60/60)^2*$E60^4*$B60</f>
        <v>24.26126396813827</v>
      </c>
      <c r="X60" s="16">
        <f t="shared" si="6"/>
        <v>1606.9419893941829</v>
      </c>
      <c r="Y60" s="7">
        <f>Inputs!$C$6*(X60/60)^3*$E60^5*$C60</f>
        <v>438.85399650740766</v>
      </c>
      <c r="Z60" s="17">
        <f>Inputs!$C$6*(X60/60)^2*$E60^4*$B60</f>
        <v>34.936220114119109</v>
      </c>
    </row>
    <row r="61" spans="1:26">
      <c r="A61" s="16">
        <f>'Propeller Data'!A37</f>
        <v>0.51</v>
      </c>
      <c r="B61" s="7">
        <f>'Propeller Data'!B37</f>
        <v>1.09E-2</v>
      </c>
      <c r="C61" s="7">
        <f>'Propeller Data'!C37</f>
        <v>3.2800000000000003E-2</v>
      </c>
      <c r="D61" s="17">
        <f>'Propeller Sizing'!D61</f>
        <v>0.16948170731707315</v>
      </c>
      <c r="E61" s="27">
        <f t="shared" si="0"/>
        <v>0.2286</v>
      </c>
      <c r="F61" s="21">
        <v>200</v>
      </c>
      <c r="G61" s="7">
        <f>Inputs!$C$6*(F61/60)^3*$E61^5*$C$34</f>
        <v>1.5926139100663514</v>
      </c>
      <c r="H61" s="17">
        <f>Inputs!$C$6*(F61/60)^2*$E61^4*$B$34</f>
        <v>3.2967963861359766</v>
      </c>
      <c r="I61" s="16">
        <f t="shared" si="1"/>
        <v>257.32077607946064</v>
      </c>
      <c r="J61" s="7">
        <f>Inputs!$C$6*(I61/60)^3*$E61^5*$C61</f>
        <v>1.6555779971504172</v>
      </c>
      <c r="K61" s="17">
        <f>Inputs!$C$6*(I61/60)^2*$E61^4*$B61</f>
        <v>0.56118037110726637</v>
      </c>
      <c r="L61" s="16">
        <f t="shared" si="2"/>
        <v>514.64155215892129</v>
      </c>
      <c r="M61" s="7">
        <f>Inputs!$C$6*(L61/60)^3*$E61^5*$C61</f>
        <v>13.244623977203338</v>
      </c>
      <c r="N61" s="17">
        <f>Inputs!$C$6*(L61/60)^2*$E61^4*$B61</f>
        <v>2.2447214844290655</v>
      </c>
      <c r="O61" s="16">
        <f t="shared" si="3"/>
        <v>771.96232823838204</v>
      </c>
      <c r="P61" s="7">
        <f>Inputs!$C$6*(O61/60)^3*$E61^5*$C61</f>
        <v>44.700605923061268</v>
      </c>
      <c r="Q61" s="17">
        <f>Inputs!$C$6*(O61/60)^2*$E61^4*$B61</f>
        <v>5.0506233399653979</v>
      </c>
      <c r="R61" s="16">
        <f t="shared" si="4"/>
        <v>1029.2831043178426</v>
      </c>
      <c r="S61" s="7">
        <f>Inputs!$C$6*(R61/60)^3*$E61^5*$C61</f>
        <v>105.9569918176267</v>
      </c>
      <c r="T61" s="17">
        <f>Inputs!$C$6*(R61/60)^2*$E61^4*$B61</f>
        <v>8.978885937716262</v>
      </c>
      <c r="U61" s="16">
        <f t="shared" si="5"/>
        <v>1286.6038803973033</v>
      </c>
      <c r="V61" s="7">
        <f>Inputs!$C$6*(U61/60)^3*$E61^5*$C61</f>
        <v>206.94724964380225</v>
      </c>
      <c r="W61" s="17">
        <f>Inputs!$C$6*(U61/60)^2*$E61^4*$B61</f>
        <v>14.029509277681665</v>
      </c>
      <c r="X61" s="16">
        <f t="shared" si="6"/>
        <v>1543.9246564767641</v>
      </c>
      <c r="Y61" s="7">
        <f>Inputs!$C$6*(X61/60)^3*$E61^5*$C61</f>
        <v>357.60484738449014</v>
      </c>
      <c r="Z61" s="17">
        <f>Inputs!$C$6*(X61/60)^2*$E61^4*$B61</f>
        <v>20.202493359861592</v>
      </c>
    </row>
    <row r="62" spans="1:26">
      <c r="A62" s="16">
        <f>'Propeller Data'!A38</f>
        <v>0.53</v>
      </c>
      <c r="B62" s="7">
        <f>'Propeller Data'!B38</f>
        <v>5.8999999999999999E-3</v>
      </c>
      <c r="C62" s="7">
        <f>'Propeller Data'!C38</f>
        <v>3.1E-2</v>
      </c>
      <c r="D62" s="17">
        <f>'Propeller Sizing'!D62</f>
        <v>0.10087096774193549</v>
      </c>
      <c r="E62" s="27">
        <f t="shared" si="0"/>
        <v>0.2286</v>
      </c>
      <c r="F62" s="21">
        <v>100</v>
      </c>
      <c r="G62" s="7">
        <f>Inputs!$C$6*(F62/60)^3*$E62^5*$C$34</f>
        <v>0.19907673875829393</v>
      </c>
      <c r="H62" s="17">
        <f>Inputs!$C$6*(F62/60)^2*$E62^4*$B$34</f>
        <v>0.82419909653399415</v>
      </c>
      <c r="I62" s="16">
        <f t="shared" si="1"/>
        <v>247.610558114198</v>
      </c>
      <c r="J62" s="7">
        <f>Inputs!$C$6*(I62/60)^3*$E62^5*$C62</f>
        <v>1.3941850310994981</v>
      </c>
      <c r="K62" s="17">
        <f>Inputs!$C$6*(I62/60)^2*$E62^4*$B62</f>
        <v>0.28126558659665357</v>
      </c>
      <c r="L62" s="16">
        <f t="shared" si="2"/>
        <v>495.221116228396</v>
      </c>
      <c r="M62" s="7">
        <f>Inputs!$C$6*(L62/60)^3*$E62^5*$C62</f>
        <v>11.153480248795985</v>
      </c>
      <c r="N62" s="17">
        <f>Inputs!$C$6*(L62/60)^2*$E62^4*$B62</f>
        <v>1.1250623463866143</v>
      </c>
      <c r="O62" s="16">
        <f t="shared" si="3"/>
        <v>742.83167434259394</v>
      </c>
      <c r="P62" s="7">
        <f>Inputs!$C$6*(O62/60)^3*$E62^5*$C62</f>
        <v>37.642995839686442</v>
      </c>
      <c r="Q62" s="17">
        <f>Inputs!$C$6*(O62/60)^2*$E62^4*$B62</f>
        <v>2.5313902793698824</v>
      </c>
      <c r="R62" s="16">
        <f t="shared" si="4"/>
        <v>990.442232456792</v>
      </c>
      <c r="S62" s="7">
        <f>Inputs!$C$6*(R62/60)^3*$E62^5*$C62</f>
        <v>89.227841990367878</v>
      </c>
      <c r="T62" s="17">
        <f>Inputs!$C$6*(R62/60)^2*$E62^4*$B62</f>
        <v>4.5002493855464571</v>
      </c>
      <c r="U62" s="16">
        <f t="shared" si="5"/>
        <v>1238.0527905709898</v>
      </c>
      <c r="V62" s="7">
        <f>Inputs!$C$6*(U62/60)^3*$E62^5*$C62</f>
        <v>174.27312888743722</v>
      </c>
      <c r="W62" s="17">
        <f>Inputs!$C$6*(U62/60)^2*$E62^4*$B62</f>
        <v>7.0316396649163382</v>
      </c>
      <c r="X62" s="16">
        <f t="shared" si="6"/>
        <v>1485.6633486851879</v>
      </c>
      <c r="Y62" s="7">
        <f>Inputs!$C$6*(X62/60)^3*$E62^5*$C62</f>
        <v>301.14396671749154</v>
      </c>
      <c r="Z62" s="17">
        <f>Inputs!$C$6*(X62/60)^2*$E62^4*$B62</f>
        <v>10.125561117479529</v>
      </c>
    </row>
    <row r="63" spans="1:26" ht="15.75" thickBot="1">
      <c r="A63" s="18">
        <f>'Propeller Data'!A39</f>
        <v>0.55000000000000004</v>
      </c>
      <c r="B63" s="19">
        <f>'Propeller Data'!B39</f>
        <v>1E-4</v>
      </c>
      <c r="C63" s="19">
        <f>'Propeller Data'!C39</f>
        <v>2.8799999999999999E-2</v>
      </c>
      <c r="D63" s="20">
        <f>'Propeller Sizing'!D63</f>
        <v>1.9097222222222226E-3</v>
      </c>
      <c r="E63" s="28">
        <f t="shared" si="0"/>
        <v>0.2286</v>
      </c>
      <c r="F63" s="22">
        <v>0</v>
      </c>
      <c r="G63" s="19">
        <f>Inputs!$C$6*(F63/60)^3*$E63^5*$C$34</f>
        <v>0</v>
      </c>
      <c r="H63" s="20">
        <f>Inputs!$C$6*(F63/60)^2*$E63^4*$B$34</f>
        <v>0</v>
      </c>
      <c r="I63" s="18">
        <f t="shared" si="1"/>
        <v>238.60653781913624</v>
      </c>
      <c r="J63" s="19">
        <f>Inputs!$C$6*(I63/60)^3*$E63^5*$C63</f>
        <v>1.1590195185574756</v>
      </c>
      <c r="K63" s="20">
        <f>Inputs!$C$6*(I63/60)^2*$E63^4*$B63</f>
        <v>4.4268106611570256E-3</v>
      </c>
      <c r="L63" s="18">
        <f t="shared" si="2"/>
        <v>477.21307563827247</v>
      </c>
      <c r="M63" s="19">
        <f>Inputs!$C$6*(L63/60)^3*$E63^5*$C63</f>
        <v>9.2721561484598052</v>
      </c>
      <c r="N63" s="20">
        <f>Inputs!$C$6*(L63/60)^2*$E63^4*$B63</f>
        <v>1.7707242644628102E-2</v>
      </c>
      <c r="O63" s="18">
        <f t="shared" si="3"/>
        <v>715.81961345740865</v>
      </c>
      <c r="P63" s="19">
        <f>Inputs!$C$6*(O63/60)^3*$E63^5*$C63</f>
        <v>31.293527001051828</v>
      </c>
      <c r="Q63" s="20">
        <f>Inputs!$C$6*(O63/60)^2*$E63^4*$B63</f>
        <v>3.9841295950413219E-2</v>
      </c>
      <c r="R63" s="18">
        <f t="shared" si="4"/>
        <v>954.42615127654494</v>
      </c>
      <c r="S63" s="19">
        <f>Inputs!$C$6*(R63/60)^3*$E63^5*$C63</f>
        <v>74.177249187678441</v>
      </c>
      <c r="T63" s="20">
        <f>Inputs!$C$6*(R63/60)^2*$E63^4*$B63</f>
        <v>7.082897057851241E-2</v>
      </c>
      <c r="U63" s="18">
        <f t="shared" si="5"/>
        <v>1193.0326890956812</v>
      </c>
      <c r="V63" s="19">
        <f>Inputs!$C$6*(U63/60)^3*$E63^5*$C63</f>
        <v>144.87743981968441</v>
      </c>
      <c r="W63" s="20">
        <f>Inputs!$C$6*(U63/60)^2*$E63^4*$B63</f>
        <v>0.11067026652892563</v>
      </c>
      <c r="X63" s="18">
        <f t="shared" si="6"/>
        <v>1431.6392269148173</v>
      </c>
      <c r="Y63" s="19">
        <f>Inputs!$C$6*(X63/60)^3*$E63^5*$C63</f>
        <v>250.34821600841462</v>
      </c>
      <c r="Z63" s="20">
        <f>Inputs!$C$6*(X63/60)^2*$E63^4*$B63</f>
        <v>0.15936518380165288</v>
      </c>
    </row>
    <row r="64" spans="1:26">
      <c r="A64" s="1"/>
      <c r="V64" s="1"/>
    </row>
    <row r="65" spans="1:27">
      <c r="A65" s="8" t="s">
        <v>140</v>
      </c>
    </row>
    <row r="66" spans="1:27" ht="15" customHeight="1" thickBot="1">
      <c r="A66" s="2"/>
    </row>
    <row r="67" spans="1:27" ht="60.75" thickBot="1">
      <c r="A67" s="96" t="s">
        <v>48</v>
      </c>
      <c r="B67" s="97" t="s">
        <v>43</v>
      </c>
      <c r="C67" s="97" t="s">
        <v>42</v>
      </c>
      <c r="D67" s="97" t="s">
        <v>46</v>
      </c>
      <c r="E67" s="97" t="s">
        <v>27</v>
      </c>
      <c r="F67" s="97" t="s">
        <v>11</v>
      </c>
      <c r="G67" s="97" t="s">
        <v>12</v>
      </c>
      <c r="H67" s="97" t="s">
        <v>13</v>
      </c>
      <c r="I67" s="97" t="s">
        <v>14</v>
      </c>
      <c r="J67" s="97" t="s">
        <v>39</v>
      </c>
      <c r="K67" s="97" t="s">
        <v>8</v>
      </c>
      <c r="L67" s="97" t="s">
        <v>9</v>
      </c>
      <c r="M67" s="97" t="s">
        <v>62</v>
      </c>
      <c r="N67" s="97" t="s">
        <v>69</v>
      </c>
      <c r="O67" s="97" t="s">
        <v>36</v>
      </c>
      <c r="P67" s="97" t="s">
        <v>84</v>
      </c>
      <c r="Q67" s="97" t="s">
        <v>33</v>
      </c>
      <c r="R67" s="97" t="s">
        <v>64</v>
      </c>
      <c r="S67" s="97" t="s">
        <v>63</v>
      </c>
      <c r="T67" s="97" t="s">
        <v>65</v>
      </c>
      <c r="U67" s="97" t="s">
        <v>28</v>
      </c>
      <c r="V67" s="97" t="s">
        <v>29</v>
      </c>
      <c r="W67" s="97" t="s">
        <v>39</v>
      </c>
      <c r="X67" s="97" t="s">
        <v>40</v>
      </c>
      <c r="Y67" s="97" t="s">
        <v>41</v>
      </c>
      <c r="Z67" s="97" t="s">
        <v>66</v>
      </c>
      <c r="AA67" s="98" t="s">
        <v>47</v>
      </c>
    </row>
    <row r="68" spans="1:27">
      <c r="A68" s="99" t="s">
        <v>130</v>
      </c>
      <c r="B68" s="50">
        <f>$B$6</f>
        <v>0</v>
      </c>
      <c r="C68" s="56">
        <v>1</v>
      </c>
      <c r="D68" s="39">
        <f t="shared" ref="D68:D83" si="7">COLUMN($F$34)</f>
        <v>6</v>
      </c>
      <c r="E68" s="39">
        <f ca="1">MATCH($C68,OFFSET($A$34,0,$D68+1,30,1),-1)</f>
        <v>28</v>
      </c>
      <c r="F68" s="39">
        <f ca="1">INDEX(OFFSET($A$34,0,$D68+1,30,1),$E68)</f>
        <v>3.2967963861359766</v>
      </c>
      <c r="G68" s="39">
        <f t="shared" ref="G68:G99" ca="1" si="8">INDEX(OFFSET($A$34,0,$D68+1,30,1),$E68+1)</f>
        <v>0.82419909653399415</v>
      </c>
      <c r="H68" s="39">
        <f t="shared" ref="H68:H99" ca="1" si="9">INDEX(OFFSET($A$34,0,$D68,30,1),$E68)</f>
        <v>1.5926139100663514</v>
      </c>
      <c r="I68" s="39">
        <f t="shared" ref="I68:I99" ca="1" si="10">INDEX(OFFSET($A$34,0,$D68,30,1),$E68+1)</f>
        <v>0.19907673875829393</v>
      </c>
      <c r="J68" s="39">
        <f ca="1">H68+ (H68-I68)/(F68-G68)*(C68-F68)</f>
        <v>0.29815680115246335</v>
      </c>
      <c r="K68" s="39">
        <f t="shared" ref="K68:K99" ca="1" si="11">INDEX(OFFSET($A$34,0,$D68-1,30,1),$E68)</f>
        <v>200</v>
      </c>
      <c r="L68" s="39">
        <f t="shared" ref="L68:L99" ca="1" si="12">INDEX(OFFSET($A$34,0,$D68-1,30,1),$E68+1)</f>
        <v>100</v>
      </c>
      <c r="M68" s="39">
        <f ca="1">K68+ (K68-L68)/(F68-G68)*(C68-F68)</f>
        <v>107.10996910840684</v>
      </c>
      <c r="N68" s="39">
        <f ca="1">J68/$B$20</f>
        <v>0.29815680115246335</v>
      </c>
      <c r="O68" s="39">
        <f ca="1">M68/$B$19</f>
        <v>107.10996910840684</v>
      </c>
      <c r="P68" s="14">
        <f ca="1">M68/$B$16</f>
        <v>1.2904815555229741</v>
      </c>
      <c r="Q68" s="14">
        <f ca="1">N68/P68</f>
        <v>0.23104305511103088</v>
      </c>
      <c r="R68" s="14">
        <f ca="1">Q68+$B$17</f>
        <v>0.65004305511103089</v>
      </c>
      <c r="S68" s="14">
        <f ca="1">P68+$B$18*R68</f>
        <v>1.4464918887496214</v>
      </c>
      <c r="T68" s="14">
        <f ca="1">R68*S68</f>
        <v>0.94028200655612937</v>
      </c>
      <c r="U68" s="14">
        <f ca="1">N68/T68</f>
        <v>0.31709295623393929</v>
      </c>
      <c r="V68" s="14">
        <f t="shared" ref="V68:V99" ca="1" si="13">J68/(M68/60*2*PI())</f>
        <v>2.6581911533475007E-2</v>
      </c>
      <c r="W68" s="14">
        <f t="shared" ref="W68:W99" ca="1" si="14">V68*(M68/60*2*PI())</f>
        <v>0.29815680115246335</v>
      </c>
      <c r="X68" s="14">
        <f ca="1">C68*B68/J68</f>
        <v>0</v>
      </c>
      <c r="Y68" s="14">
        <f ca="1">U68*X68*$B$20*$B$21</f>
        <v>0</v>
      </c>
      <c r="Z68" s="14">
        <f ca="1">T68/$B$21</f>
        <v>1.0447577850623659</v>
      </c>
      <c r="AA68" s="15">
        <f t="shared" ref="AA68:AA99" si="15">C68/9.8*2.2</f>
        <v>0.22448979591836735</v>
      </c>
    </row>
    <row r="69" spans="1:27">
      <c r="A69" s="16"/>
      <c r="B69" s="51">
        <f t="shared" ref="B69:B83" si="16">$B$6</f>
        <v>0</v>
      </c>
      <c r="C69" s="57">
        <v>2</v>
      </c>
      <c r="D69" s="34">
        <f t="shared" si="7"/>
        <v>6</v>
      </c>
      <c r="E69" s="34">
        <f t="shared" ref="E69:E99" ca="1" si="17">MATCH($C69,OFFSET($A$34,0,$D69+1,30,1),-1)</f>
        <v>28</v>
      </c>
      <c r="F69" s="34">
        <f t="shared" ref="F69:F99" ca="1" si="18">INDEX(OFFSET($A$34,0,$D69+1,30,1),$E69)</f>
        <v>3.2967963861359766</v>
      </c>
      <c r="G69" s="34">
        <f t="shared" ca="1" si="8"/>
        <v>0.82419909653399415</v>
      </c>
      <c r="H69" s="34">
        <f t="shared" ca="1" si="9"/>
        <v>1.5926139100663514</v>
      </c>
      <c r="I69" s="34">
        <f t="shared" ca="1" si="10"/>
        <v>0.19907673875829393</v>
      </c>
      <c r="J69" s="34">
        <f ca="1">H69+ (H69-I69)/(F69-G69)*(C69-F69)</f>
        <v>0.8617492539826519</v>
      </c>
      <c r="K69" s="34">
        <f t="shared" ca="1" si="11"/>
        <v>200</v>
      </c>
      <c r="L69" s="34">
        <f t="shared" ca="1" si="12"/>
        <v>100</v>
      </c>
      <c r="M69" s="34">
        <f ca="1">K69+ (K69-L69)/(F69-G69)*(C69-F69)</f>
        <v>147.55327155014703</v>
      </c>
      <c r="N69" s="34">
        <f t="shared" ref="N69:N132" ca="1" si="19">J69/$B$20</f>
        <v>0.8617492539826519</v>
      </c>
      <c r="O69" s="34">
        <f t="shared" ref="O69:O132" ca="1" si="20">M69/$B$19</f>
        <v>147.55327155014703</v>
      </c>
      <c r="P69" s="7">
        <f t="shared" ref="P69:P132" ca="1" si="21">M69/$B$16</f>
        <v>1.7777502596403256</v>
      </c>
      <c r="Q69" s="7">
        <f t="shared" ref="Q69:Q132" ca="1" si="22">N69/P69</f>
        <v>0.48474145865516621</v>
      </c>
      <c r="R69" s="7">
        <f t="shared" ref="R69:R132" ca="1" si="23">Q69+$B$17</f>
        <v>0.9037414586551662</v>
      </c>
      <c r="S69" s="7">
        <f t="shared" ref="S69:S132" ca="1" si="24">P69+$B$18*R69</f>
        <v>1.9946482097175655</v>
      </c>
      <c r="T69" s="7">
        <f ca="1">R69*S69</f>
        <v>1.8026462825540686</v>
      </c>
      <c r="U69" s="7">
        <f t="shared" ref="U69:U132" ca="1" si="25">N69/T69</f>
        <v>0.47804678173562015</v>
      </c>
      <c r="V69" s="7">
        <f t="shared" ca="1" si="13"/>
        <v>5.5770360915574926E-2</v>
      </c>
      <c r="W69" s="7">
        <f t="shared" ca="1" si="14"/>
        <v>0.8617492539826519</v>
      </c>
      <c r="X69" s="7">
        <f t="shared" ref="X69:X132" ca="1" si="26">C69*B69/J69</f>
        <v>0</v>
      </c>
      <c r="Y69" s="7">
        <f t="shared" ref="Y69:Y132" ca="1" si="27">U69*X69*$B$20*$B$21</f>
        <v>0</v>
      </c>
      <c r="Z69" s="7">
        <f t="shared" ref="Z69:Z132" ca="1" si="28">T69/$B$21</f>
        <v>2.0029403139489652</v>
      </c>
      <c r="AA69" s="17">
        <f t="shared" si="15"/>
        <v>0.44897959183673469</v>
      </c>
    </row>
    <row r="70" spans="1:27">
      <c r="A70" s="16"/>
      <c r="B70" s="51">
        <f t="shared" si="16"/>
        <v>0</v>
      </c>
      <c r="C70" s="57">
        <v>3</v>
      </c>
      <c r="D70" s="34">
        <f t="shared" si="7"/>
        <v>6</v>
      </c>
      <c r="E70" s="34">
        <f t="shared" ca="1" si="17"/>
        <v>28</v>
      </c>
      <c r="F70" s="34">
        <f t="shared" ca="1" si="18"/>
        <v>3.2967963861359766</v>
      </c>
      <c r="G70" s="34">
        <f t="shared" ca="1" si="8"/>
        <v>0.82419909653399415</v>
      </c>
      <c r="H70" s="34">
        <f t="shared" ca="1" si="9"/>
        <v>1.5926139100663514</v>
      </c>
      <c r="I70" s="34">
        <f t="shared" ca="1" si="10"/>
        <v>0.19907673875829393</v>
      </c>
      <c r="J70" s="34">
        <f ca="1">H70+ (H70-I70)/(F70-G70)*(C70-F70)</f>
        <v>1.4253417068128407</v>
      </c>
      <c r="K70" s="34">
        <f t="shared" ca="1" si="11"/>
        <v>200</v>
      </c>
      <c r="L70" s="34">
        <f t="shared" ca="1" si="12"/>
        <v>100</v>
      </c>
      <c r="M70" s="34">
        <f ca="1">K70+ (K70-L70)/(F70-G70)*(C70-F70)</f>
        <v>187.9965739918872</v>
      </c>
      <c r="N70" s="34">
        <f t="shared" ca="1" si="19"/>
        <v>1.4253417068128407</v>
      </c>
      <c r="O70" s="34">
        <f t="shared" ca="1" si="20"/>
        <v>187.9965739918872</v>
      </c>
      <c r="P70" s="7">
        <f t="shared" ca="1" si="21"/>
        <v>2.2650189637576772</v>
      </c>
      <c r="Q70" s="7">
        <f t="shared" ca="1" si="22"/>
        <v>0.62928466808427597</v>
      </c>
      <c r="R70" s="7">
        <f t="shared" ca="1" si="23"/>
        <v>1.0482846680842759</v>
      </c>
      <c r="S70" s="7">
        <f t="shared" ca="1" si="24"/>
        <v>2.5166072840979035</v>
      </c>
      <c r="T70" s="7">
        <f ca="1">R70*S70</f>
        <v>2.6381208315090419</v>
      </c>
      <c r="U70" s="7">
        <f t="shared" ca="1" si="25"/>
        <v>0.54028674114882191</v>
      </c>
      <c r="V70" s="7">
        <f t="shared" ca="1" si="13"/>
        <v>7.2400312436786907E-2</v>
      </c>
      <c r="W70" s="7">
        <f t="shared" ca="1" si="14"/>
        <v>1.4253417068128409</v>
      </c>
      <c r="X70" s="7">
        <f t="shared" ca="1" si="26"/>
        <v>0</v>
      </c>
      <c r="Y70" s="7">
        <f t="shared" ca="1" si="27"/>
        <v>0</v>
      </c>
      <c r="Z70" s="7">
        <f t="shared" ca="1" si="28"/>
        <v>2.9312453683433799</v>
      </c>
      <c r="AA70" s="17">
        <f t="shared" si="15"/>
        <v>0.67346938775510201</v>
      </c>
    </row>
    <row r="71" spans="1:27">
      <c r="A71" s="16"/>
      <c r="B71" s="51">
        <f t="shared" si="16"/>
        <v>0</v>
      </c>
      <c r="C71" s="57">
        <v>4</v>
      </c>
      <c r="D71" s="34">
        <f t="shared" si="7"/>
        <v>6</v>
      </c>
      <c r="E71" s="34">
        <f t="shared" ca="1" si="17"/>
        <v>27</v>
      </c>
      <c r="F71" s="34">
        <f t="shared" ca="1" si="18"/>
        <v>7.4177918688059465</v>
      </c>
      <c r="G71" s="34">
        <f t="shared" ca="1" si="8"/>
        <v>3.2967963861359766</v>
      </c>
      <c r="H71" s="34">
        <f t="shared" ca="1" si="9"/>
        <v>5.3750719464739349</v>
      </c>
      <c r="I71" s="34">
        <f t="shared" ca="1" si="10"/>
        <v>1.5926139100663514</v>
      </c>
      <c r="J71" s="34">
        <f ca="1">H71+ (H71-I71)/(F71-G71)*(C71-F71)</f>
        <v>2.2380497450912267</v>
      </c>
      <c r="K71" s="34">
        <f t="shared" ca="1" si="11"/>
        <v>300</v>
      </c>
      <c r="L71" s="34">
        <f t="shared" ca="1" si="12"/>
        <v>200</v>
      </c>
      <c r="M71" s="34">
        <f ca="1">K71+ (K71-L71)/(F71-G71)*(C71-F71)</f>
        <v>217.06392586017643</v>
      </c>
      <c r="N71" s="34">
        <f t="shared" ca="1" si="19"/>
        <v>2.2380497450912267</v>
      </c>
      <c r="O71" s="34">
        <f t="shared" ca="1" si="20"/>
        <v>217.06392586017643</v>
      </c>
      <c r="P71" s="7">
        <f t="shared" ca="1" si="21"/>
        <v>2.6152280224117641</v>
      </c>
      <c r="Q71" s="7">
        <f t="shared" ca="1" si="22"/>
        <v>0.85577614109047995</v>
      </c>
      <c r="R71" s="7">
        <f t="shared" ca="1" si="23"/>
        <v>1.2747761410904799</v>
      </c>
      <c r="S71" s="7">
        <f t="shared" ca="1" si="24"/>
        <v>2.9211742962734792</v>
      </c>
      <c r="T71" s="7">
        <f ca="1">R71*S71</f>
        <v>3.7238432968562041</v>
      </c>
      <c r="U71" s="7">
        <f t="shared" ca="1" si="25"/>
        <v>0.60100535030049862</v>
      </c>
      <c r="V71" s="7">
        <f t="shared" ca="1" si="13"/>
        <v>9.8458556410595505E-2</v>
      </c>
      <c r="W71" s="7">
        <f t="shared" ca="1" si="14"/>
        <v>2.2380497450912267</v>
      </c>
      <c r="X71" s="7">
        <f t="shared" ca="1" si="26"/>
        <v>0</v>
      </c>
      <c r="Y71" s="7">
        <f t="shared" ca="1" si="27"/>
        <v>0</v>
      </c>
      <c r="Z71" s="7">
        <f t="shared" ca="1" si="28"/>
        <v>4.13760366317356</v>
      </c>
      <c r="AA71" s="17">
        <f t="shared" si="15"/>
        <v>0.89795918367346939</v>
      </c>
    </row>
    <row r="72" spans="1:27">
      <c r="A72" s="16"/>
      <c r="B72" s="51">
        <f t="shared" si="16"/>
        <v>0</v>
      </c>
      <c r="C72" s="57">
        <v>5</v>
      </c>
      <c r="D72" s="34">
        <f t="shared" si="7"/>
        <v>6</v>
      </c>
      <c r="E72" s="34">
        <f t="shared" ca="1" si="17"/>
        <v>27</v>
      </c>
      <c r="F72" s="34">
        <f t="shared" ca="1" si="18"/>
        <v>7.4177918688059465</v>
      </c>
      <c r="G72" s="34">
        <f t="shared" ca="1" si="8"/>
        <v>3.2967963861359766</v>
      </c>
      <c r="H72" s="34">
        <f t="shared" ca="1" si="9"/>
        <v>5.3750719464739349</v>
      </c>
      <c r="I72" s="34">
        <f t="shared" ca="1" si="10"/>
        <v>1.5926139100663514</v>
      </c>
      <c r="J72" s="34">
        <f t="shared" ref="J72:J83" ca="1" si="29">H72+ (H72-I72)/(F72-G72)*(C72-F72)</f>
        <v>3.1559003111289621</v>
      </c>
      <c r="K72" s="34">
        <f t="shared" ca="1" si="11"/>
        <v>300</v>
      </c>
      <c r="L72" s="34">
        <f t="shared" ca="1" si="12"/>
        <v>200</v>
      </c>
      <c r="M72" s="34">
        <f t="shared" ref="M72:M83" ca="1" si="30">K72+ (K72-L72)/(F72-G72)*(C72-F72)</f>
        <v>241.32990732522055</v>
      </c>
      <c r="N72" s="34">
        <f t="shared" ca="1" si="19"/>
        <v>3.1559003111289621</v>
      </c>
      <c r="O72" s="34">
        <f t="shared" ca="1" si="20"/>
        <v>241.32990732522055</v>
      </c>
      <c r="P72" s="7">
        <f t="shared" ca="1" si="21"/>
        <v>2.9075892448821752</v>
      </c>
      <c r="Q72" s="7">
        <f t="shared" ca="1" si="22"/>
        <v>1.0854010127750522</v>
      </c>
      <c r="R72" s="7">
        <f t="shared" ca="1" si="23"/>
        <v>1.5044010127750522</v>
      </c>
      <c r="S72" s="7">
        <f t="shared" ca="1" si="24"/>
        <v>3.2686454879481879</v>
      </c>
      <c r="T72" s="7">
        <f t="shared" ref="T72:T83" ca="1" si="31">R72*S72</f>
        <v>4.9173535824718586</v>
      </c>
      <c r="U72" s="7">
        <f t="shared" ca="1" si="25"/>
        <v>0.64178836404571749</v>
      </c>
      <c r="V72" s="7">
        <f t="shared" ca="1" si="13"/>
        <v>0.12487730343621613</v>
      </c>
      <c r="W72" s="7">
        <f t="shared" ca="1" si="14"/>
        <v>3.1559003111289621</v>
      </c>
      <c r="X72" s="7">
        <f t="shared" ca="1" si="26"/>
        <v>0</v>
      </c>
      <c r="Y72" s="7">
        <f t="shared" ca="1" si="27"/>
        <v>0</v>
      </c>
      <c r="Z72" s="7">
        <f t="shared" ca="1" si="28"/>
        <v>5.4637262027465097</v>
      </c>
      <c r="AA72" s="17">
        <f t="shared" si="15"/>
        <v>1.1224489795918369</v>
      </c>
    </row>
    <row r="73" spans="1:27">
      <c r="A73" s="16"/>
      <c r="B73" s="51">
        <f t="shared" si="16"/>
        <v>0</v>
      </c>
      <c r="C73" s="57">
        <v>6</v>
      </c>
      <c r="D73" s="34">
        <f t="shared" si="7"/>
        <v>6</v>
      </c>
      <c r="E73" s="34">
        <f t="shared" ca="1" si="17"/>
        <v>27</v>
      </c>
      <c r="F73" s="34">
        <f t="shared" ca="1" si="18"/>
        <v>7.4177918688059465</v>
      </c>
      <c r="G73" s="34">
        <f t="shared" ca="1" si="8"/>
        <v>3.2967963861359766</v>
      </c>
      <c r="H73" s="34">
        <f t="shared" ca="1" si="9"/>
        <v>5.3750719464739349</v>
      </c>
      <c r="I73" s="34">
        <f t="shared" ca="1" si="10"/>
        <v>1.5926139100663514</v>
      </c>
      <c r="J73" s="34">
        <f t="shared" ca="1" si="29"/>
        <v>4.0737508771666979</v>
      </c>
      <c r="K73" s="34">
        <f t="shared" ca="1" si="11"/>
        <v>300</v>
      </c>
      <c r="L73" s="34">
        <f t="shared" ca="1" si="12"/>
        <v>200</v>
      </c>
      <c r="M73" s="34">
        <f t="shared" ca="1" si="30"/>
        <v>265.59588879026467</v>
      </c>
      <c r="N73" s="34">
        <f t="shared" ca="1" si="19"/>
        <v>4.0737508771666979</v>
      </c>
      <c r="O73" s="34">
        <f t="shared" ca="1" si="20"/>
        <v>265.59588879026467</v>
      </c>
      <c r="P73" s="7">
        <f t="shared" ca="1" si="21"/>
        <v>3.1999504673525863</v>
      </c>
      <c r="Q73" s="7">
        <f t="shared" ca="1" si="22"/>
        <v>1.2730668548557356</v>
      </c>
      <c r="R73" s="7">
        <f t="shared" ca="1" si="23"/>
        <v>1.6920668548557356</v>
      </c>
      <c r="S73" s="7">
        <f t="shared" ca="1" si="24"/>
        <v>3.6060465125179628</v>
      </c>
      <c r="T73" s="7">
        <f t="shared" ca="1" si="31"/>
        <v>6.1016717808997631</v>
      </c>
      <c r="U73" s="7">
        <f t="shared" ca="1" si="25"/>
        <v>0.66764503622087246</v>
      </c>
      <c r="V73" s="7">
        <f t="shared" ca="1" si="13"/>
        <v>0.14646859000246462</v>
      </c>
      <c r="W73" s="7">
        <f t="shared" ca="1" si="14"/>
        <v>4.0737508771666979</v>
      </c>
      <c r="X73" s="7">
        <f t="shared" ca="1" si="26"/>
        <v>0</v>
      </c>
      <c r="Y73" s="7">
        <f t="shared" ca="1" si="27"/>
        <v>0</v>
      </c>
      <c r="Z73" s="7">
        <f t="shared" ca="1" si="28"/>
        <v>6.7796353121108481</v>
      </c>
      <c r="AA73" s="17">
        <f t="shared" si="15"/>
        <v>1.346938775510204</v>
      </c>
    </row>
    <row r="74" spans="1:27">
      <c r="A74" s="16"/>
      <c r="B74" s="51">
        <f t="shared" si="16"/>
        <v>0</v>
      </c>
      <c r="C74" s="57">
        <v>7</v>
      </c>
      <c r="D74" s="34">
        <f t="shared" si="7"/>
        <v>6</v>
      </c>
      <c r="E74" s="34">
        <f t="shared" ca="1" si="17"/>
        <v>27</v>
      </c>
      <c r="F74" s="34">
        <f t="shared" ca="1" si="18"/>
        <v>7.4177918688059465</v>
      </c>
      <c r="G74" s="34">
        <f t="shared" ca="1" si="8"/>
        <v>3.2967963861359766</v>
      </c>
      <c r="H74" s="34">
        <f t="shared" ca="1" si="9"/>
        <v>5.3750719464739349</v>
      </c>
      <c r="I74" s="34">
        <f t="shared" ca="1" si="10"/>
        <v>1.5926139100663514</v>
      </c>
      <c r="J74" s="34">
        <f t="shared" ca="1" si="29"/>
        <v>4.9916014432044333</v>
      </c>
      <c r="K74" s="34">
        <f t="shared" ca="1" si="11"/>
        <v>300</v>
      </c>
      <c r="L74" s="34">
        <f t="shared" ca="1" si="12"/>
        <v>200</v>
      </c>
      <c r="M74" s="34">
        <f t="shared" ca="1" si="30"/>
        <v>289.86187025530876</v>
      </c>
      <c r="N74" s="34">
        <f t="shared" ca="1" si="19"/>
        <v>4.9916014432044333</v>
      </c>
      <c r="O74" s="34">
        <f t="shared" ca="1" si="20"/>
        <v>289.86187025530876</v>
      </c>
      <c r="P74" s="7">
        <f t="shared" ca="1" si="21"/>
        <v>3.4923116898229969</v>
      </c>
      <c r="Q74" s="7">
        <f t="shared" ca="1" si="22"/>
        <v>1.4293115525027567</v>
      </c>
      <c r="R74" s="7">
        <f t="shared" ca="1" si="23"/>
        <v>1.8483115525027567</v>
      </c>
      <c r="S74" s="7">
        <f t="shared" ca="1" si="24"/>
        <v>3.9359064624236586</v>
      </c>
      <c r="T74" s="7">
        <f t="shared" ca="1" si="31"/>
        <v>7.2747813840679054</v>
      </c>
      <c r="U74" s="7">
        <f t="shared" ca="1" si="25"/>
        <v>0.68615140162648214</v>
      </c>
      <c r="V74" s="7">
        <f t="shared" ca="1" si="13"/>
        <v>0.1644448184090348</v>
      </c>
      <c r="W74" s="7">
        <f t="shared" ca="1" si="14"/>
        <v>4.9916014432044333</v>
      </c>
      <c r="X74" s="7">
        <f t="shared" ca="1" si="26"/>
        <v>0</v>
      </c>
      <c r="Y74" s="7">
        <f t="shared" ca="1" si="27"/>
        <v>0</v>
      </c>
      <c r="Z74" s="7">
        <f t="shared" ca="1" si="28"/>
        <v>8.0830904267421175</v>
      </c>
      <c r="AA74" s="17">
        <f t="shared" si="15"/>
        <v>1.5714285714285714</v>
      </c>
    </row>
    <row r="75" spans="1:27">
      <c r="A75" s="16"/>
      <c r="B75" s="51">
        <f t="shared" si="16"/>
        <v>0</v>
      </c>
      <c r="C75" s="57">
        <v>8</v>
      </c>
      <c r="D75" s="34">
        <f t="shared" si="7"/>
        <v>6</v>
      </c>
      <c r="E75" s="34">
        <f t="shared" ca="1" si="17"/>
        <v>26</v>
      </c>
      <c r="F75" s="34">
        <f t="shared" ca="1" si="18"/>
        <v>13.187185544543906</v>
      </c>
      <c r="G75" s="34">
        <f t="shared" ca="1" si="8"/>
        <v>7.4177918688059465</v>
      </c>
      <c r="H75" s="34">
        <f t="shared" ca="1" si="9"/>
        <v>12.740911280530812</v>
      </c>
      <c r="I75" s="34">
        <f t="shared" ca="1" si="10"/>
        <v>5.3750719464739349</v>
      </c>
      <c r="J75" s="34">
        <f t="shared" ca="1" si="29"/>
        <v>6.1183825600989223</v>
      </c>
      <c r="K75" s="34">
        <f t="shared" ca="1" si="11"/>
        <v>400</v>
      </c>
      <c r="L75" s="34">
        <f t="shared" ca="1" si="12"/>
        <v>300</v>
      </c>
      <c r="M75" s="34">
        <f t="shared" ca="1" si="30"/>
        <v>310.09132265739493</v>
      </c>
      <c r="N75" s="34">
        <f t="shared" ca="1" si="19"/>
        <v>6.1183825600989223</v>
      </c>
      <c r="O75" s="34">
        <f t="shared" ca="1" si="20"/>
        <v>310.09132265739493</v>
      </c>
      <c r="P75" s="7">
        <f t="shared" ca="1" si="21"/>
        <v>3.7360400320168061</v>
      </c>
      <c r="Q75" s="7">
        <f t="shared" ca="1" si="22"/>
        <v>1.6376651501766883</v>
      </c>
      <c r="R75" s="7">
        <f t="shared" ca="1" si="23"/>
        <v>2.0566651501766882</v>
      </c>
      <c r="S75" s="7">
        <f t="shared" ca="1" si="24"/>
        <v>4.2296396680592112</v>
      </c>
      <c r="T75" s="7">
        <f t="shared" ca="1" si="31"/>
        <v>8.6989525031022747</v>
      </c>
      <c r="U75" s="7">
        <f t="shared" ca="1" si="25"/>
        <v>0.7033470475803778</v>
      </c>
      <c r="V75" s="7">
        <f t="shared" ca="1" si="13"/>
        <v>0.18841626779273568</v>
      </c>
      <c r="W75" s="7">
        <f t="shared" ca="1" si="14"/>
        <v>6.1183825600989223</v>
      </c>
      <c r="X75" s="7">
        <f t="shared" ca="1" si="26"/>
        <v>0</v>
      </c>
      <c r="Y75" s="7">
        <f t="shared" ca="1" si="27"/>
        <v>0</v>
      </c>
      <c r="Z75" s="7">
        <f t="shared" ca="1" si="28"/>
        <v>9.6655027812247489</v>
      </c>
      <c r="AA75" s="17">
        <f t="shared" si="15"/>
        <v>1.7959183673469388</v>
      </c>
    </row>
    <row r="76" spans="1:27">
      <c r="A76" s="16"/>
      <c r="B76" s="51">
        <f t="shared" si="16"/>
        <v>0</v>
      </c>
      <c r="C76" s="57">
        <v>9</v>
      </c>
      <c r="D76" s="34">
        <f t="shared" si="7"/>
        <v>6</v>
      </c>
      <c r="E76" s="34">
        <f t="shared" ca="1" si="17"/>
        <v>26</v>
      </c>
      <c r="F76" s="34">
        <f t="shared" ca="1" si="18"/>
        <v>13.187185544543906</v>
      </c>
      <c r="G76" s="34">
        <f t="shared" ca="1" si="8"/>
        <v>7.4177918688059465</v>
      </c>
      <c r="H76" s="34">
        <f t="shared" ca="1" si="9"/>
        <v>12.740911280530812</v>
      </c>
      <c r="I76" s="34">
        <f t="shared" ca="1" si="10"/>
        <v>5.3750719464739349</v>
      </c>
      <c r="J76" s="34">
        <f t="shared" ca="1" si="29"/>
        <v>7.395091994061187</v>
      </c>
      <c r="K76" s="34">
        <f t="shared" ca="1" si="11"/>
        <v>400</v>
      </c>
      <c r="L76" s="34">
        <f t="shared" ca="1" si="12"/>
        <v>300</v>
      </c>
      <c r="M76" s="34">
        <f t="shared" ca="1" si="30"/>
        <v>327.42416656099783</v>
      </c>
      <c r="N76" s="34">
        <f t="shared" ca="1" si="19"/>
        <v>7.395091994061187</v>
      </c>
      <c r="O76" s="34">
        <f t="shared" ca="1" si="20"/>
        <v>327.42416656099783</v>
      </c>
      <c r="P76" s="7">
        <f t="shared" ca="1" si="21"/>
        <v>3.9448694766385279</v>
      </c>
      <c r="Q76" s="7">
        <f t="shared" ca="1" si="22"/>
        <v>1.8746100568991795</v>
      </c>
      <c r="R76" s="7">
        <f t="shared" ca="1" si="23"/>
        <v>2.2936100568991793</v>
      </c>
      <c r="S76" s="7">
        <f t="shared" ca="1" si="24"/>
        <v>4.4953358902943306</v>
      </c>
      <c r="T76" s="7">
        <f t="shared" ca="1" si="31"/>
        <v>10.310547607118902</v>
      </c>
      <c r="U76" s="7">
        <f t="shared" ca="1" si="25"/>
        <v>0.71723561888752219</v>
      </c>
      <c r="V76" s="7">
        <f t="shared" ca="1" si="13"/>
        <v>0.21567719777731345</v>
      </c>
      <c r="W76" s="7">
        <f t="shared" ca="1" si="14"/>
        <v>7.395091994061187</v>
      </c>
      <c r="X76" s="7">
        <f t="shared" ca="1" si="26"/>
        <v>0</v>
      </c>
      <c r="Y76" s="7">
        <f t="shared" ca="1" si="27"/>
        <v>0</v>
      </c>
      <c r="Z76" s="7">
        <f t="shared" ca="1" si="28"/>
        <v>11.456164007909891</v>
      </c>
      <c r="AA76" s="17">
        <f t="shared" si="15"/>
        <v>2.0204081632653059</v>
      </c>
    </row>
    <row r="77" spans="1:27">
      <c r="A77" s="16"/>
      <c r="B77" s="51">
        <f t="shared" si="16"/>
        <v>0</v>
      </c>
      <c r="C77" s="57">
        <v>10</v>
      </c>
      <c r="D77" s="34">
        <f t="shared" si="7"/>
        <v>6</v>
      </c>
      <c r="E77" s="34">
        <f t="shared" ca="1" si="17"/>
        <v>26</v>
      </c>
      <c r="F77" s="34">
        <f t="shared" ca="1" si="18"/>
        <v>13.187185544543906</v>
      </c>
      <c r="G77" s="34">
        <f t="shared" ca="1" si="8"/>
        <v>7.4177918688059465</v>
      </c>
      <c r="H77" s="34">
        <f t="shared" ca="1" si="9"/>
        <v>12.740911280530812</v>
      </c>
      <c r="I77" s="34">
        <f t="shared" ca="1" si="10"/>
        <v>5.3750719464739349</v>
      </c>
      <c r="J77" s="34">
        <f t="shared" ca="1" si="29"/>
        <v>8.6718014280234499</v>
      </c>
      <c r="K77" s="34">
        <f t="shared" ca="1" si="11"/>
        <v>400</v>
      </c>
      <c r="L77" s="34">
        <f t="shared" ca="1" si="12"/>
        <v>300</v>
      </c>
      <c r="M77" s="34">
        <f t="shared" ca="1" si="30"/>
        <v>344.75701046460074</v>
      </c>
      <c r="N77" s="34">
        <f t="shared" ca="1" si="19"/>
        <v>8.6718014280234499</v>
      </c>
      <c r="O77" s="34">
        <f t="shared" ca="1" si="20"/>
        <v>344.75701046460074</v>
      </c>
      <c r="P77" s="7">
        <f t="shared" ca="1" si="21"/>
        <v>4.1536989212602498</v>
      </c>
      <c r="Q77" s="7">
        <f t="shared" ca="1" si="22"/>
        <v>2.0877298986784503</v>
      </c>
      <c r="R77" s="7">
        <f t="shared" ca="1" si="23"/>
        <v>2.5067298986784503</v>
      </c>
      <c r="S77" s="7">
        <f t="shared" ca="1" si="24"/>
        <v>4.7553140969430778</v>
      </c>
      <c r="T77" s="7">
        <f t="shared" ca="1" si="31"/>
        <v>11.920288024414328</v>
      </c>
      <c r="U77" s="7">
        <f t="shared" ca="1" si="25"/>
        <v>0.72748254155121528</v>
      </c>
      <c r="V77" s="7">
        <f t="shared" ca="1" si="13"/>
        <v>0.24019701196295215</v>
      </c>
      <c r="W77" s="7">
        <f t="shared" ca="1" si="14"/>
        <v>8.6718014280234499</v>
      </c>
      <c r="X77" s="7">
        <f t="shared" ca="1" si="26"/>
        <v>0</v>
      </c>
      <c r="Y77" s="7">
        <f t="shared" ca="1" si="27"/>
        <v>0</v>
      </c>
      <c r="Z77" s="7">
        <f t="shared" ca="1" si="28"/>
        <v>13.244764471571475</v>
      </c>
      <c r="AA77" s="17">
        <f t="shared" si="15"/>
        <v>2.2448979591836737</v>
      </c>
    </row>
    <row r="78" spans="1:27">
      <c r="A78" s="16"/>
      <c r="B78" s="51">
        <f t="shared" si="16"/>
        <v>0</v>
      </c>
      <c r="C78" s="57">
        <v>11</v>
      </c>
      <c r="D78" s="34">
        <f t="shared" si="7"/>
        <v>6</v>
      </c>
      <c r="E78" s="34">
        <f t="shared" ca="1" si="17"/>
        <v>26</v>
      </c>
      <c r="F78" s="34">
        <f t="shared" ca="1" si="18"/>
        <v>13.187185544543906</v>
      </c>
      <c r="G78" s="34">
        <f t="shared" ca="1" si="8"/>
        <v>7.4177918688059465</v>
      </c>
      <c r="H78" s="34">
        <f t="shared" ca="1" si="9"/>
        <v>12.740911280530812</v>
      </c>
      <c r="I78" s="34">
        <f t="shared" ca="1" si="10"/>
        <v>5.3750719464739349</v>
      </c>
      <c r="J78" s="34">
        <f t="shared" ca="1" si="29"/>
        <v>9.9485108619857137</v>
      </c>
      <c r="K78" s="34">
        <f t="shared" ca="1" si="11"/>
        <v>400</v>
      </c>
      <c r="L78" s="34">
        <f t="shared" ca="1" si="12"/>
        <v>300</v>
      </c>
      <c r="M78" s="34">
        <f t="shared" ca="1" si="30"/>
        <v>362.0898543682037</v>
      </c>
      <c r="N78" s="34">
        <f t="shared" ca="1" si="19"/>
        <v>9.9485108619857137</v>
      </c>
      <c r="O78" s="34">
        <f t="shared" ca="1" si="20"/>
        <v>362.0898543682037</v>
      </c>
      <c r="P78" s="7">
        <f t="shared" ca="1" si="21"/>
        <v>4.362528365881972</v>
      </c>
      <c r="Q78" s="7">
        <f t="shared" ca="1" si="22"/>
        <v>2.2804461146407755</v>
      </c>
      <c r="R78" s="7">
        <f t="shared" ca="1" si="23"/>
        <v>2.6994461146407756</v>
      </c>
      <c r="S78" s="7">
        <f t="shared" ca="1" si="24"/>
        <v>5.0103954333957583</v>
      </c>
      <c r="T78" s="7">
        <f t="shared" ca="1" si="31"/>
        <v>13.525292485494065</v>
      </c>
      <c r="U78" s="7">
        <f t="shared" ca="1" si="25"/>
        <v>0.73554866725843715</v>
      </c>
      <c r="V78" s="7">
        <f t="shared" ca="1" si="13"/>
        <v>0.26236935296370101</v>
      </c>
      <c r="W78" s="7">
        <f t="shared" ca="1" si="14"/>
        <v>9.9485108619857137</v>
      </c>
      <c r="X78" s="7">
        <f t="shared" ca="1" si="26"/>
        <v>0</v>
      </c>
      <c r="Y78" s="7">
        <f t="shared" ca="1" si="27"/>
        <v>0</v>
      </c>
      <c r="Z78" s="7">
        <f t="shared" ca="1" si="28"/>
        <v>15.028102761660072</v>
      </c>
      <c r="AA78" s="17">
        <f t="shared" si="15"/>
        <v>2.4693877551020407</v>
      </c>
    </row>
    <row r="79" spans="1:27">
      <c r="A79" s="16"/>
      <c r="B79" s="51">
        <f t="shared" si="16"/>
        <v>0</v>
      </c>
      <c r="C79" s="57">
        <v>12</v>
      </c>
      <c r="D79" s="34">
        <f t="shared" si="7"/>
        <v>6</v>
      </c>
      <c r="E79" s="34">
        <f t="shared" ca="1" si="17"/>
        <v>26</v>
      </c>
      <c r="F79" s="34">
        <f t="shared" ca="1" si="18"/>
        <v>13.187185544543906</v>
      </c>
      <c r="G79" s="34">
        <f t="shared" ca="1" si="8"/>
        <v>7.4177918688059465</v>
      </c>
      <c r="H79" s="34">
        <f t="shared" ca="1" si="9"/>
        <v>12.740911280530812</v>
      </c>
      <c r="I79" s="34">
        <f t="shared" ca="1" si="10"/>
        <v>5.3750719464739349</v>
      </c>
      <c r="J79" s="34">
        <f t="shared" ca="1" si="29"/>
        <v>11.225220295947979</v>
      </c>
      <c r="K79" s="34">
        <f t="shared" ca="1" si="11"/>
        <v>400</v>
      </c>
      <c r="L79" s="34">
        <f t="shared" ca="1" si="12"/>
        <v>300</v>
      </c>
      <c r="M79" s="34">
        <f t="shared" ca="1" si="30"/>
        <v>379.42269827180661</v>
      </c>
      <c r="N79" s="34">
        <f t="shared" ca="1" si="19"/>
        <v>11.225220295947979</v>
      </c>
      <c r="O79" s="34">
        <f t="shared" ca="1" si="20"/>
        <v>379.42269827180661</v>
      </c>
      <c r="P79" s="7">
        <f t="shared" ca="1" si="21"/>
        <v>4.5713578105036943</v>
      </c>
      <c r="Q79" s="7">
        <f t="shared" ca="1" si="22"/>
        <v>2.45555494915659</v>
      </c>
      <c r="R79" s="7">
        <f t="shared" ca="1" si="23"/>
        <v>2.87455494915659</v>
      </c>
      <c r="S79" s="7">
        <f t="shared" ca="1" si="24"/>
        <v>5.2612509983012758</v>
      </c>
      <c r="T79" s="7">
        <f t="shared" ca="1" si="31"/>
        <v>15.123755095921982</v>
      </c>
      <c r="U79" s="7">
        <f t="shared" ca="1" si="25"/>
        <v>0.74222441614217782</v>
      </c>
      <c r="V79" s="7">
        <f t="shared" ca="1" si="13"/>
        <v>0.28251593363279931</v>
      </c>
      <c r="W79" s="7">
        <f t="shared" ca="1" si="14"/>
        <v>11.225220295947979</v>
      </c>
      <c r="X79" s="7">
        <f t="shared" ca="1" si="26"/>
        <v>0</v>
      </c>
      <c r="Y79" s="7">
        <f t="shared" ca="1" si="27"/>
        <v>0</v>
      </c>
      <c r="Z79" s="7">
        <f t="shared" ca="1" si="28"/>
        <v>16.804172328802203</v>
      </c>
      <c r="AA79" s="17">
        <f t="shared" si="15"/>
        <v>2.693877551020408</v>
      </c>
    </row>
    <row r="80" spans="1:27">
      <c r="A80" s="16"/>
      <c r="B80" s="51">
        <f t="shared" si="16"/>
        <v>0</v>
      </c>
      <c r="C80" s="57">
        <v>13</v>
      </c>
      <c r="D80" s="34">
        <f t="shared" si="7"/>
        <v>6</v>
      </c>
      <c r="E80" s="34">
        <f t="shared" ca="1" si="17"/>
        <v>26</v>
      </c>
      <c r="F80" s="34">
        <f t="shared" ca="1" si="18"/>
        <v>13.187185544543906</v>
      </c>
      <c r="G80" s="34">
        <f t="shared" ca="1" si="8"/>
        <v>7.4177918688059465</v>
      </c>
      <c r="H80" s="34">
        <f t="shared" ca="1" si="9"/>
        <v>12.740911280530812</v>
      </c>
      <c r="I80" s="34">
        <f t="shared" ca="1" si="10"/>
        <v>5.3750719464739349</v>
      </c>
      <c r="J80" s="34">
        <f t="shared" ca="1" si="29"/>
        <v>12.501929729910243</v>
      </c>
      <c r="K80" s="34">
        <f t="shared" ca="1" si="11"/>
        <v>400</v>
      </c>
      <c r="L80" s="34">
        <f t="shared" ca="1" si="12"/>
        <v>300</v>
      </c>
      <c r="M80" s="34">
        <f t="shared" ca="1" si="30"/>
        <v>396.75554217540957</v>
      </c>
      <c r="N80" s="34">
        <f t="shared" ca="1" si="19"/>
        <v>12.501929729910243</v>
      </c>
      <c r="O80" s="34">
        <f t="shared" ca="1" si="20"/>
        <v>396.75554217540957</v>
      </c>
      <c r="P80" s="7">
        <f t="shared" ca="1" si="21"/>
        <v>4.7801872551254165</v>
      </c>
      <c r="Q80" s="7">
        <f t="shared" ca="1" si="22"/>
        <v>2.6153640145593489</v>
      </c>
      <c r="R80" s="7">
        <f t="shared" ca="1" si="23"/>
        <v>3.0343640145593489</v>
      </c>
      <c r="S80" s="7">
        <f t="shared" ca="1" si="24"/>
        <v>5.5084346186196598</v>
      </c>
      <c r="T80" s="7">
        <f t="shared" ca="1" si="31"/>
        <v>16.714595783292445</v>
      </c>
      <c r="U80" s="7">
        <f t="shared" ca="1" si="25"/>
        <v>0.74796482619142401</v>
      </c>
      <c r="V80" s="7">
        <f t="shared" ca="1" si="13"/>
        <v>0.30090224884466321</v>
      </c>
      <c r="W80" s="7">
        <f t="shared" ca="1" si="14"/>
        <v>12.501929729910243</v>
      </c>
      <c r="X80" s="7">
        <f t="shared" ca="1" si="26"/>
        <v>0</v>
      </c>
      <c r="Y80" s="7">
        <f t="shared" ca="1" si="27"/>
        <v>0</v>
      </c>
      <c r="Z80" s="7">
        <f t="shared" ca="1" si="28"/>
        <v>18.571773092547161</v>
      </c>
      <c r="AA80" s="17">
        <f t="shared" si="15"/>
        <v>2.9183673469387754</v>
      </c>
    </row>
    <row r="81" spans="1:27">
      <c r="A81" s="16"/>
      <c r="B81" s="51">
        <f t="shared" si="16"/>
        <v>0</v>
      </c>
      <c r="C81" s="57">
        <v>14</v>
      </c>
      <c r="D81" s="34">
        <f t="shared" si="7"/>
        <v>6</v>
      </c>
      <c r="E81" s="34">
        <f t="shared" ca="1" si="17"/>
        <v>25</v>
      </c>
      <c r="F81" s="34">
        <f t="shared" ca="1" si="18"/>
        <v>20.604977413349854</v>
      </c>
      <c r="G81" s="34">
        <f t="shared" ca="1" si="8"/>
        <v>13.187185544543906</v>
      </c>
      <c r="H81" s="34">
        <f t="shared" ca="1" si="9"/>
        <v>24.884592344786739</v>
      </c>
      <c r="I81" s="34">
        <f t="shared" ca="1" si="10"/>
        <v>12.740911280530812</v>
      </c>
      <c r="J81" s="34">
        <f t="shared" ca="1" si="29"/>
        <v>14.071571359170163</v>
      </c>
      <c r="K81" s="34">
        <f t="shared" ca="1" si="11"/>
        <v>500</v>
      </c>
      <c r="L81" s="34">
        <f t="shared" ca="1" si="12"/>
        <v>400</v>
      </c>
      <c r="M81" s="34">
        <f t="shared" ca="1" si="30"/>
        <v>410.95763361700972</v>
      </c>
      <c r="N81" s="34">
        <f t="shared" ca="1" si="19"/>
        <v>14.071571359170163</v>
      </c>
      <c r="O81" s="34">
        <f t="shared" ca="1" si="20"/>
        <v>410.95763361700972</v>
      </c>
      <c r="P81" s="7">
        <f t="shared" ca="1" si="21"/>
        <v>4.9512967905663823</v>
      </c>
      <c r="Q81" s="7">
        <f t="shared" ca="1" si="22"/>
        <v>2.8419971482986996</v>
      </c>
      <c r="R81" s="7">
        <f t="shared" ca="1" si="23"/>
        <v>3.2609971482986997</v>
      </c>
      <c r="S81" s="7">
        <f t="shared" ca="1" si="24"/>
        <v>5.7339361061580698</v>
      </c>
      <c r="T81" s="7">
        <f t="shared" ca="1" si="31"/>
        <v>18.698349290708414</v>
      </c>
      <c r="U81" s="7">
        <f t="shared" ca="1" si="25"/>
        <v>0.75255687763639167</v>
      </c>
      <c r="V81" s="7">
        <f t="shared" ca="1" si="13"/>
        <v>0.32697679113600603</v>
      </c>
      <c r="W81" s="7">
        <f t="shared" ca="1" si="14"/>
        <v>14.071571359170163</v>
      </c>
      <c r="X81" s="7">
        <f t="shared" ca="1" si="26"/>
        <v>0</v>
      </c>
      <c r="Y81" s="7">
        <f t="shared" ca="1" si="27"/>
        <v>0</v>
      </c>
      <c r="Z81" s="7">
        <f t="shared" ca="1" si="28"/>
        <v>20.775943656342683</v>
      </c>
      <c r="AA81" s="17">
        <f t="shared" si="15"/>
        <v>3.1428571428571428</v>
      </c>
    </row>
    <row r="82" spans="1:27">
      <c r="A82" s="16"/>
      <c r="B82" s="51">
        <f t="shared" si="16"/>
        <v>0</v>
      </c>
      <c r="C82" s="57">
        <v>15</v>
      </c>
      <c r="D82" s="34">
        <f t="shared" si="7"/>
        <v>6</v>
      </c>
      <c r="E82" s="34">
        <f t="shared" ca="1" si="17"/>
        <v>25</v>
      </c>
      <c r="F82" s="34">
        <f t="shared" ca="1" si="18"/>
        <v>20.604977413349854</v>
      </c>
      <c r="G82" s="34">
        <f t="shared" ca="1" si="8"/>
        <v>13.187185544543906</v>
      </c>
      <c r="H82" s="34">
        <f t="shared" ca="1" si="9"/>
        <v>24.884592344786739</v>
      </c>
      <c r="I82" s="34">
        <f t="shared" ca="1" si="10"/>
        <v>12.740911280530812</v>
      </c>
      <c r="J82" s="34">
        <f t="shared" ca="1" si="29"/>
        <v>15.708673245962615</v>
      </c>
      <c r="K82" s="34">
        <f t="shared" ca="1" si="11"/>
        <v>500</v>
      </c>
      <c r="L82" s="34">
        <f t="shared" ca="1" si="12"/>
        <v>400</v>
      </c>
      <c r="M82" s="34">
        <f t="shared" ca="1" si="30"/>
        <v>424.43873443092309</v>
      </c>
      <c r="N82" s="34">
        <f t="shared" ca="1" si="19"/>
        <v>15.708673245962615</v>
      </c>
      <c r="O82" s="34">
        <f t="shared" ca="1" si="20"/>
        <v>424.43873443092309</v>
      </c>
      <c r="P82" s="7">
        <f t="shared" ca="1" si="21"/>
        <v>5.1137196919388321</v>
      </c>
      <c r="Q82" s="7">
        <f t="shared" ca="1" si="22"/>
        <v>3.0718682666016015</v>
      </c>
      <c r="R82" s="7">
        <f t="shared" ca="1" si="23"/>
        <v>3.4908682666016015</v>
      </c>
      <c r="S82" s="7">
        <f t="shared" ca="1" si="24"/>
        <v>5.9515280759232168</v>
      </c>
      <c r="T82" s="7">
        <f t="shared" ca="1" si="31"/>
        <v>20.776000498028843</v>
      </c>
      <c r="U82" s="7">
        <f t="shared" ca="1" si="25"/>
        <v>0.75609707688700722</v>
      </c>
      <c r="V82" s="7">
        <f t="shared" ca="1" si="13"/>
        <v>0.35342386926995928</v>
      </c>
      <c r="W82" s="7">
        <f t="shared" ca="1" si="14"/>
        <v>15.708673245962615</v>
      </c>
      <c r="X82" s="7">
        <f t="shared" ca="1" si="26"/>
        <v>0</v>
      </c>
      <c r="Y82" s="7">
        <f t="shared" ca="1" si="27"/>
        <v>0</v>
      </c>
      <c r="Z82" s="7">
        <f t="shared" ca="1" si="28"/>
        <v>23.084444997809825</v>
      </c>
      <c r="AA82" s="17">
        <f t="shared" si="15"/>
        <v>3.3673469387755102</v>
      </c>
    </row>
    <row r="83" spans="1:27" ht="15.75" thickBot="1">
      <c r="A83" s="18"/>
      <c r="B83" s="52">
        <f t="shared" si="16"/>
        <v>0</v>
      </c>
      <c r="C83" s="57">
        <v>16</v>
      </c>
      <c r="D83" s="40">
        <f t="shared" si="7"/>
        <v>6</v>
      </c>
      <c r="E83" s="40">
        <f t="shared" ca="1" si="17"/>
        <v>25</v>
      </c>
      <c r="F83" s="40">
        <f t="shared" ca="1" si="18"/>
        <v>20.604977413349854</v>
      </c>
      <c r="G83" s="40">
        <f t="shared" ca="1" si="8"/>
        <v>13.187185544543906</v>
      </c>
      <c r="H83" s="40">
        <f t="shared" ca="1" si="9"/>
        <v>24.884592344786739</v>
      </c>
      <c r="I83" s="40">
        <f t="shared" ca="1" si="10"/>
        <v>12.740911280530812</v>
      </c>
      <c r="J83" s="40">
        <f t="shared" ca="1" si="29"/>
        <v>17.345775132755065</v>
      </c>
      <c r="K83" s="40">
        <f t="shared" ca="1" si="11"/>
        <v>500</v>
      </c>
      <c r="L83" s="40">
        <f t="shared" ca="1" si="12"/>
        <v>400</v>
      </c>
      <c r="M83" s="40">
        <f t="shared" ca="1" si="30"/>
        <v>437.91983524483652</v>
      </c>
      <c r="N83" s="40">
        <f t="shared" ca="1" si="19"/>
        <v>17.345775132755065</v>
      </c>
      <c r="O83" s="40">
        <f t="shared" ca="1" si="20"/>
        <v>437.91983524483652</v>
      </c>
      <c r="P83" s="19">
        <f t="shared" ca="1" si="21"/>
        <v>5.2761425933112838</v>
      </c>
      <c r="Q83" s="19">
        <f t="shared" ca="1" si="22"/>
        <v>3.287586494486483</v>
      </c>
      <c r="R83" s="19">
        <f t="shared" ca="1" si="23"/>
        <v>3.706586494486483</v>
      </c>
      <c r="S83" s="19">
        <f t="shared" ca="1" si="24"/>
        <v>6.1657233519880394</v>
      </c>
      <c r="T83" s="19">
        <f t="shared" ca="1" si="31"/>
        <v>22.853786905218794</v>
      </c>
      <c r="U83" s="19">
        <f t="shared" ca="1" si="25"/>
        <v>0.75898909903610146</v>
      </c>
      <c r="V83" s="19">
        <f t="shared" ca="1" si="13"/>
        <v>0.37824263236603367</v>
      </c>
      <c r="W83" s="19">
        <f t="shared" ca="1" si="14"/>
        <v>17.345775132755065</v>
      </c>
      <c r="X83" s="19">
        <f t="shared" ca="1" si="26"/>
        <v>0</v>
      </c>
      <c r="Y83" s="19">
        <f t="shared" ca="1" si="27"/>
        <v>0</v>
      </c>
      <c r="Z83" s="19">
        <f t="shared" ca="1" si="28"/>
        <v>25.393096561354213</v>
      </c>
      <c r="AA83" s="20">
        <f t="shared" si="15"/>
        <v>3.5918367346938775</v>
      </c>
    </row>
    <row r="84" spans="1:27" s="11" customFormat="1">
      <c r="A84" s="100" t="str">
        <f>_xlfn.CONCAT("v = ", TEXT(B84,"0.0"), " m/s")</f>
        <v>v = 0.5 m/s</v>
      </c>
      <c r="B84" s="53">
        <f>$B$7</f>
        <v>0.5</v>
      </c>
      <c r="C84" s="41">
        <f>C68</f>
        <v>1</v>
      </c>
      <c r="D84" s="41">
        <f>COLUMN($I$34)</f>
        <v>9</v>
      </c>
      <c r="E84" s="41">
        <f t="shared" ca="1" si="17"/>
        <v>26</v>
      </c>
      <c r="F84" s="41">
        <f t="shared" ca="1" si="18"/>
        <v>1.3942750192394748</v>
      </c>
      <c r="G84" s="41">
        <f t="shared" ca="1" si="8"/>
        <v>0.97045055872553065</v>
      </c>
      <c r="H84" s="41">
        <f t="shared" ca="1" si="9"/>
        <v>2.4441731373346944</v>
      </c>
      <c r="I84" s="41">
        <f t="shared" ca="1" si="10"/>
        <v>2.0317314653120713</v>
      </c>
      <c r="J84" s="41">
        <f ca="1">H84+ (H84-I84)/(F84-G84)*(C84-F84)</f>
        <v>2.0604872878330216</v>
      </c>
      <c r="K84" s="41">
        <f t="shared" ca="1" si="11"/>
        <v>279.22041659686158</v>
      </c>
      <c r="L84" s="41">
        <f t="shared" ca="1" si="12"/>
        <v>267.82366489903046</v>
      </c>
      <c r="M84" s="41">
        <f ca="1">K84+ (K84-L84)/(F84-G84)*(C84-F84)</f>
        <v>268.61825718048209</v>
      </c>
      <c r="N84" s="41">
        <f t="shared" ca="1" si="19"/>
        <v>2.0604872878330216</v>
      </c>
      <c r="O84" s="41">
        <f t="shared" ca="1" si="20"/>
        <v>268.61825718048209</v>
      </c>
      <c r="P84" s="42">
        <f t="shared" ca="1" si="21"/>
        <v>3.2363645443431577</v>
      </c>
      <c r="Q84" s="42">
        <f t="shared" ca="1" si="22"/>
        <v>0.63666724177736644</v>
      </c>
      <c r="R84" s="42">
        <f t="shared" ca="1" si="23"/>
        <v>1.0556672417773665</v>
      </c>
      <c r="S84" s="42">
        <f t="shared" ca="1" si="24"/>
        <v>3.4897246823697254</v>
      </c>
      <c r="T84" s="42">
        <f ca="1">R84*S84</f>
        <v>3.6839880299996444</v>
      </c>
      <c r="U84" s="42">
        <f t="shared" ca="1" si="25"/>
        <v>0.55930889868641087</v>
      </c>
      <c r="V84" s="42">
        <f t="shared" ca="1" si="13"/>
        <v>7.3249690578470403E-2</v>
      </c>
      <c r="W84" s="42">
        <f t="shared" ca="1" si="14"/>
        <v>2.0604872878330216</v>
      </c>
      <c r="X84" s="42">
        <f t="shared" ca="1" si="26"/>
        <v>0.24266104574022451</v>
      </c>
      <c r="Y84" s="42">
        <f t="shared" ca="1" si="27"/>
        <v>0.12215023402235196</v>
      </c>
      <c r="Z84" s="42">
        <f t="shared" ca="1" si="28"/>
        <v>4.0933200333329385</v>
      </c>
      <c r="AA84" s="43">
        <f t="shared" si="15"/>
        <v>0.22448979591836735</v>
      </c>
    </row>
    <row r="85" spans="1:27" s="11" customFormat="1">
      <c r="A85" s="44"/>
      <c r="B85" s="54">
        <v>0.5</v>
      </c>
      <c r="C85" s="38">
        <f>C69</f>
        <v>2</v>
      </c>
      <c r="D85" s="36">
        <f t="shared" ref="D85:D99" si="32">COLUMN($I$34)</f>
        <v>9</v>
      </c>
      <c r="E85" s="36">
        <f t="shared" ca="1" si="17"/>
        <v>24</v>
      </c>
      <c r="F85" s="36">
        <f t="shared" ca="1" si="18"/>
        <v>2.4406714214440242</v>
      </c>
      <c r="G85" s="36">
        <f t="shared" ca="1" si="8"/>
        <v>1.8846736500000001</v>
      </c>
      <c r="H85" s="36">
        <f t="shared" ca="1" si="9"/>
        <v>3.5201181911655572</v>
      </c>
      <c r="I85" s="36">
        <f t="shared" ca="1" si="10"/>
        <v>2.9464098777777772</v>
      </c>
      <c r="J85" s="36">
        <f ca="1">H85+ (H85-I85)/(F85-G85)*(C85-F85)</f>
        <v>3.065409789550499</v>
      </c>
      <c r="K85" s="36">
        <f t="shared" ca="1" si="11"/>
        <v>305.19440883843009</v>
      </c>
      <c r="L85" s="36">
        <f t="shared" ca="1" si="12"/>
        <v>291.63021289005542</v>
      </c>
      <c r="M85" s="36">
        <f ca="1">K85+ (K85-L85)/(F85-G85)*(C85-F85)</f>
        <v>294.4437299394998</v>
      </c>
      <c r="N85" s="36">
        <f t="shared" ca="1" si="19"/>
        <v>3.065409789550499</v>
      </c>
      <c r="O85" s="36">
        <f t="shared" ca="1" si="20"/>
        <v>294.4437299394998</v>
      </c>
      <c r="P85" s="35">
        <f t="shared" ca="1" si="21"/>
        <v>3.5475148185481906</v>
      </c>
      <c r="Q85" s="35">
        <f t="shared" ca="1" si="22"/>
        <v>0.86410062997425574</v>
      </c>
      <c r="R85" s="35">
        <f t="shared" ca="1" si="23"/>
        <v>1.2831006299742558</v>
      </c>
      <c r="S85" s="35">
        <f t="shared" ca="1" si="24"/>
        <v>3.8554589697420121</v>
      </c>
      <c r="T85" s="35">
        <f t="shared" ref="T85:T99" ca="1" si="33">R85*S85</f>
        <v>4.9469418329158712</v>
      </c>
      <c r="U85" s="35">
        <f t="shared" ca="1" si="25"/>
        <v>0.61965753653174804</v>
      </c>
      <c r="V85" s="35">
        <f t="shared" ca="1" si="13"/>
        <v>9.9416303558474889E-2</v>
      </c>
      <c r="W85" s="35">
        <f t="shared" ca="1" si="14"/>
        <v>3.065409789550499</v>
      </c>
      <c r="X85" s="35">
        <f t="shared" ca="1" si="26"/>
        <v>0.32622065846101328</v>
      </c>
      <c r="Y85" s="35">
        <f t="shared" ca="1" si="27"/>
        <v>0.18193058062894463</v>
      </c>
      <c r="Z85" s="35">
        <f t="shared" ca="1" si="28"/>
        <v>5.49660203657319</v>
      </c>
      <c r="AA85" s="45">
        <f t="shared" si="15"/>
        <v>0.44897959183673469</v>
      </c>
    </row>
    <row r="86" spans="1:27" s="11" customFormat="1">
      <c r="A86" s="44"/>
      <c r="B86" s="54">
        <v>0.5</v>
      </c>
      <c r="C86" s="38">
        <f t="shared" ref="C86:C99" si="34">C70</f>
        <v>3</v>
      </c>
      <c r="D86" s="36">
        <f t="shared" si="32"/>
        <v>9</v>
      </c>
      <c r="E86" s="36">
        <f t="shared" ca="1" si="17"/>
        <v>22</v>
      </c>
      <c r="F86" s="36">
        <f t="shared" ca="1" si="18"/>
        <v>3.6407059242187487</v>
      </c>
      <c r="G86" s="36">
        <f t="shared" ca="1" si="8"/>
        <v>2.9454351887755101</v>
      </c>
      <c r="H86" s="36">
        <f t="shared" ca="1" si="9"/>
        <v>4.6868857874999978</v>
      </c>
      <c r="I86" s="36">
        <f t="shared" ca="1" si="10"/>
        <v>3.9402606231778425</v>
      </c>
      <c r="J86" s="36">
        <f ca="1">H86+ (H86-I86)/(F86-G86)*(C86-F86)</f>
        <v>3.9988557273148237</v>
      </c>
      <c r="K86" s="36">
        <f t="shared" ca="1" si="11"/>
        <v>328.08398950131232</v>
      </c>
      <c r="L86" s="36">
        <f t="shared" ca="1" si="12"/>
        <v>312.46094238220223</v>
      </c>
      <c r="M86" s="36">
        <f ca="1">K86+ (K86-L86)/(F86-G86)*(C86-F86)</f>
        <v>313.68703830908186</v>
      </c>
      <c r="N86" s="36">
        <f t="shared" ca="1" si="19"/>
        <v>3.9988557273148237</v>
      </c>
      <c r="O86" s="36">
        <f t="shared" ca="1" si="20"/>
        <v>313.68703830908186</v>
      </c>
      <c r="P86" s="35">
        <f t="shared" ca="1" si="21"/>
        <v>3.7793619073383358</v>
      </c>
      <c r="Q86" s="35">
        <f t="shared" ca="1" si="22"/>
        <v>1.0580769519717865</v>
      </c>
      <c r="R86" s="35">
        <f t="shared" ca="1" si="23"/>
        <v>1.4770769519717866</v>
      </c>
      <c r="S86" s="35">
        <f t="shared" ca="1" si="24"/>
        <v>4.1338603758115644</v>
      </c>
      <c r="T86" s="35">
        <f t="shared" ca="1" si="33"/>
        <v>6.1060298837806899</v>
      </c>
      <c r="U86" s="35">
        <f t="shared" ca="1" si="25"/>
        <v>0.65490274424252237</v>
      </c>
      <c r="V86" s="35">
        <f t="shared" ca="1" si="13"/>
        <v>0.12173362198403551</v>
      </c>
      <c r="W86" s="35">
        <f t="shared" ca="1" si="14"/>
        <v>3.9988557273148237</v>
      </c>
      <c r="X86" s="35">
        <f t="shared" ca="1" si="26"/>
        <v>0.37510730626114119</v>
      </c>
      <c r="Y86" s="35">
        <f t="shared" ca="1" si="27"/>
        <v>0.2210929238302575</v>
      </c>
      <c r="Z86" s="35">
        <f t="shared" ca="1" si="28"/>
        <v>6.7844776486452112</v>
      </c>
      <c r="AA86" s="45">
        <f t="shared" si="15"/>
        <v>0.67346938775510201</v>
      </c>
    </row>
    <row r="87" spans="1:27" s="11" customFormat="1">
      <c r="A87" s="44"/>
      <c r="B87" s="54">
        <v>0.5</v>
      </c>
      <c r="C87" s="38">
        <f t="shared" si="34"/>
        <v>4</v>
      </c>
      <c r="D87" s="36">
        <f t="shared" si="32"/>
        <v>9</v>
      </c>
      <c r="E87" s="36">
        <f t="shared" ca="1" si="17"/>
        <v>21</v>
      </c>
      <c r="F87" s="36">
        <f t="shared" ca="1" si="18"/>
        <v>4.4142414619113568</v>
      </c>
      <c r="G87" s="36">
        <f t="shared" ca="1" si="8"/>
        <v>3.6407059242187487</v>
      </c>
      <c r="H87" s="36">
        <f t="shared" ca="1" si="9"/>
        <v>5.5641699099722972</v>
      </c>
      <c r="I87" s="36">
        <f t="shared" ca="1" si="10"/>
        <v>4.6868857874999978</v>
      </c>
      <c r="J87" s="36">
        <f ca="1">H87+ (H87-I87)/(F87-G87)*(C87-F87)</f>
        <v>5.0943693129776699</v>
      </c>
      <c r="K87" s="36">
        <f t="shared" ca="1" si="11"/>
        <v>345.35156789611824</v>
      </c>
      <c r="L87" s="36">
        <f t="shared" ca="1" si="12"/>
        <v>328.08398950131232</v>
      </c>
      <c r="M87" s="36">
        <f ca="1">K87+ (K87-L87)/(F87-G87)*(C87-F87)</f>
        <v>336.10448541653363</v>
      </c>
      <c r="N87" s="36">
        <f t="shared" ca="1" si="19"/>
        <v>5.0943693129776699</v>
      </c>
      <c r="O87" s="36">
        <f t="shared" ca="1" si="20"/>
        <v>336.10448541653363</v>
      </c>
      <c r="P87" s="35">
        <f t="shared" ca="1" si="21"/>
        <v>4.0494516315245015</v>
      </c>
      <c r="Q87" s="35">
        <f t="shared" ca="1" si="22"/>
        <v>1.2580393042155653</v>
      </c>
      <c r="R87" s="35">
        <f t="shared" ca="1" si="23"/>
        <v>1.6770393042155654</v>
      </c>
      <c r="S87" s="35">
        <f t="shared" ca="1" si="24"/>
        <v>4.4519410645362374</v>
      </c>
      <c r="T87" s="35">
        <f t="shared" ca="1" si="33"/>
        <v>7.4660801452785552</v>
      </c>
      <c r="U87" s="35">
        <f t="shared" ca="1" si="25"/>
        <v>0.68233520319217011</v>
      </c>
      <c r="V87" s="35">
        <f t="shared" ca="1" si="13"/>
        <v>0.14473964376129825</v>
      </c>
      <c r="W87" s="35">
        <f t="shared" ca="1" si="14"/>
        <v>5.0943693129776699</v>
      </c>
      <c r="X87" s="35">
        <f t="shared" ca="1" si="26"/>
        <v>0.39259030453585148</v>
      </c>
      <c r="Y87" s="35">
        <f t="shared" ca="1" si="27"/>
        <v>0.24109036669507156</v>
      </c>
      <c r="Z87" s="35">
        <f t="shared" ca="1" si="28"/>
        <v>8.2956446058650606</v>
      </c>
      <c r="AA87" s="45">
        <f t="shared" si="15"/>
        <v>0.89795918367346939</v>
      </c>
    </row>
    <row r="88" spans="1:27" s="11" customFormat="1">
      <c r="A88" s="44"/>
      <c r="B88" s="54">
        <v>0.5</v>
      </c>
      <c r="C88" s="38">
        <f t="shared" si="34"/>
        <v>5</v>
      </c>
      <c r="D88" s="36">
        <f t="shared" si="32"/>
        <v>9</v>
      </c>
      <c r="E88" s="36">
        <f t="shared" ca="1" si="17"/>
        <v>20</v>
      </c>
      <c r="F88" s="36">
        <f t="shared" ca="1" si="18"/>
        <v>5.341975203125001</v>
      </c>
      <c r="G88" s="36">
        <f t="shared" ca="1" si="8"/>
        <v>4.4142414619113568</v>
      </c>
      <c r="H88" s="36">
        <f t="shared" ca="1" si="9"/>
        <v>6.7162164062500009</v>
      </c>
      <c r="I88" s="36">
        <f t="shared" ca="1" si="10"/>
        <v>5.5641699099722972</v>
      </c>
      <c r="J88" s="36">
        <f t="shared" ref="J88:J99" ca="1" si="35">H88+ (H88-I88)/(F88-G88)*(C88-F88)</f>
        <v>6.2915564881374753</v>
      </c>
      <c r="K88" s="36">
        <f t="shared" ca="1" si="11"/>
        <v>364.53776611256927</v>
      </c>
      <c r="L88" s="36">
        <f t="shared" ca="1" si="12"/>
        <v>345.35156789611824</v>
      </c>
      <c r="M88" s="36">
        <f t="shared" ref="M88:M99" ca="1" si="36">K88+ (K88-L88)/(F88-G88)*(C88-F88)</f>
        <v>357.46547398736948</v>
      </c>
      <c r="N88" s="36">
        <f t="shared" ca="1" si="19"/>
        <v>6.2915564881374753</v>
      </c>
      <c r="O88" s="36">
        <f t="shared" ca="1" si="20"/>
        <v>357.46547398736948</v>
      </c>
      <c r="P88" s="35">
        <f t="shared" ca="1" si="21"/>
        <v>4.3068129396068615</v>
      </c>
      <c r="Q88" s="35">
        <f t="shared" ca="1" si="22"/>
        <v>1.4608381130924593</v>
      </c>
      <c r="R88" s="35">
        <f t="shared" ca="1" si="23"/>
        <v>1.8798381130924593</v>
      </c>
      <c r="S88" s="35">
        <f t="shared" ca="1" si="24"/>
        <v>4.7579740867490514</v>
      </c>
      <c r="T88" s="35">
        <f t="shared" ca="1" si="33"/>
        <v>8.9442210293771538</v>
      </c>
      <c r="U88" s="35">
        <f t="shared" ca="1" si="25"/>
        <v>0.7034214010893689</v>
      </c>
      <c r="V88" s="35">
        <f t="shared" ca="1" si="13"/>
        <v>0.1680720048836401</v>
      </c>
      <c r="W88" s="35">
        <f t="shared" ca="1" si="14"/>
        <v>6.2915564881374753</v>
      </c>
      <c r="X88" s="35">
        <f t="shared" ca="1" si="26"/>
        <v>0.39735795183809736</v>
      </c>
      <c r="Y88" s="35">
        <f t="shared" ca="1" si="27"/>
        <v>0.25155907849436082</v>
      </c>
      <c r="Z88" s="35">
        <f t="shared" ca="1" si="28"/>
        <v>9.9380233659746153</v>
      </c>
      <c r="AA88" s="45">
        <f t="shared" si="15"/>
        <v>1.1224489795918369</v>
      </c>
    </row>
    <row r="89" spans="1:27" s="11" customFormat="1">
      <c r="A89" s="44"/>
      <c r="B89" s="54">
        <v>0.5</v>
      </c>
      <c r="C89" s="38">
        <f t="shared" si="34"/>
        <v>6</v>
      </c>
      <c r="D89" s="36">
        <f t="shared" si="32"/>
        <v>9</v>
      </c>
      <c r="E89" s="36">
        <f t="shared" ca="1" si="17"/>
        <v>19</v>
      </c>
      <c r="F89" s="36">
        <f t="shared" ca="1" si="18"/>
        <v>6.452287156790657</v>
      </c>
      <c r="G89" s="36">
        <f t="shared" ca="1" si="8"/>
        <v>5.341975203125001</v>
      </c>
      <c r="H89" s="36">
        <f t="shared" ca="1" si="9"/>
        <v>8.22804598355129</v>
      </c>
      <c r="I89" s="36">
        <f t="shared" ca="1" si="10"/>
        <v>6.7162164062500009</v>
      </c>
      <c r="J89" s="36">
        <f t="shared" ca="1" si="35"/>
        <v>7.6122000505122536</v>
      </c>
      <c r="K89" s="36">
        <f t="shared" ca="1" si="11"/>
        <v>385.98116411919096</v>
      </c>
      <c r="L89" s="36">
        <f t="shared" ca="1" si="12"/>
        <v>364.53776611256927</v>
      </c>
      <c r="M89" s="36">
        <f t="shared" ca="1" si="36"/>
        <v>377.24616537912891</v>
      </c>
      <c r="N89" s="36">
        <f t="shared" ca="1" si="19"/>
        <v>7.6122000505122536</v>
      </c>
      <c r="O89" s="36">
        <f t="shared" ca="1" si="20"/>
        <v>377.24616537912891</v>
      </c>
      <c r="P89" s="35">
        <f t="shared" ca="1" si="21"/>
        <v>4.5451345226401072</v>
      </c>
      <c r="Q89" s="35">
        <f t="shared" ca="1" si="22"/>
        <v>1.6748019255743825</v>
      </c>
      <c r="R89" s="35">
        <f t="shared" ca="1" si="23"/>
        <v>2.0938019255743825</v>
      </c>
      <c r="S89" s="35">
        <f t="shared" ca="1" si="24"/>
        <v>5.047646984777959</v>
      </c>
      <c r="T89" s="35">
        <f t="shared" ca="1" si="33"/>
        <v>10.568772976347816</v>
      </c>
      <c r="U89" s="35">
        <f t="shared" ca="1" si="25"/>
        <v>0.72025390909122866</v>
      </c>
      <c r="V89" s="35">
        <f t="shared" ca="1" si="13"/>
        <v>0.19268891938914767</v>
      </c>
      <c r="W89" s="35">
        <f t="shared" ca="1" si="14"/>
        <v>7.6122000505122536</v>
      </c>
      <c r="X89" s="35">
        <f t="shared" ca="1" si="26"/>
        <v>0.39410419853562817</v>
      </c>
      <c r="Y89" s="35">
        <f t="shared" ca="1" si="27"/>
        <v>0.2554695806260967</v>
      </c>
      <c r="Z89" s="35">
        <f t="shared" ca="1" si="28"/>
        <v>11.743081084830907</v>
      </c>
      <c r="AA89" s="45">
        <f t="shared" si="15"/>
        <v>1.346938775510204</v>
      </c>
    </row>
    <row r="90" spans="1:27" s="11" customFormat="1">
      <c r="A90" s="44"/>
      <c r="B90" s="54">
        <v>0.5</v>
      </c>
      <c r="C90" s="38">
        <f t="shared" si="34"/>
        <v>7</v>
      </c>
      <c r="D90" s="36">
        <f t="shared" si="32"/>
        <v>9</v>
      </c>
      <c r="E90" s="36">
        <f t="shared" ca="1" si="17"/>
        <v>18</v>
      </c>
      <c r="F90" s="36">
        <f t="shared" ca="1" si="18"/>
        <v>7.8332717263183609</v>
      </c>
      <c r="G90" s="36">
        <f t="shared" ca="1" si="8"/>
        <v>6.452287156790657</v>
      </c>
      <c r="H90" s="36">
        <f t="shared" ca="1" si="9"/>
        <v>10.196167026901245</v>
      </c>
      <c r="I90" s="36">
        <f t="shared" ca="1" si="10"/>
        <v>8.22804598355129</v>
      </c>
      <c r="J90" s="36">
        <f t="shared" ca="1" si="35"/>
        <v>9.0086232587934063</v>
      </c>
      <c r="K90" s="36">
        <f t="shared" ca="1" si="11"/>
        <v>410.10498687664045</v>
      </c>
      <c r="L90" s="36">
        <f t="shared" ca="1" si="12"/>
        <v>385.98116411919096</v>
      </c>
      <c r="M90" s="36">
        <f t="shared" ca="1" si="36"/>
        <v>395.54892312469508</v>
      </c>
      <c r="N90" s="36">
        <f t="shared" ca="1" si="19"/>
        <v>9.0086232587934063</v>
      </c>
      <c r="O90" s="36">
        <f t="shared" ca="1" si="20"/>
        <v>395.54892312469508</v>
      </c>
      <c r="P90" s="35">
        <f t="shared" ca="1" si="21"/>
        <v>4.7656496762011455</v>
      </c>
      <c r="Q90" s="35">
        <f t="shared" ca="1" si="22"/>
        <v>1.8903242728438387</v>
      </c>
      <c r="R90" s="35">
        <f t="shared" ca="1" si="23"/>
        <v>2.3093242728438388</v>
      </c>
      <c r="S90" s="35">
        <f t="shared" ca="1" si="24"/>
        <v>5.3198875016836666</v>
      </c>
      <c r="T90" s="35">
        <f t="shared" ca="1" si="33"/>
        <v>12.285345336436659</v>
      </c>
      <c r="U90" s="35">
        <f t="shared" ca="1" si="25"/>
        <v>0.7332820537063014</v>
      </c>
      <c r="V90" s="35">
        <f t="shared" ca="1" si="13"/>
        <v>0.21748514607447442</v>
      </c>
      <c r="W90" s="35">
        <f t="shared" ca="1" si="14"/>
        <v>9.0086232587934063</v>
      </c>
      <c r="X90" s="35">
        <f t="shared" ca="1" si="26"/>
        <v>0.38851663561173072</v>
      </c>
      <c r="Y90" s="35">
        <f t="shared" ca="1" si="27"/>
        <v>0.25640304881438936</v>
      </c>
      <c r="Z90" s="35">
        <f t="shared" ca="1" si="28"/>
        <v>13.650383707151843</v>
      </c>
      <c r="AA90" s="45">
        <f t="shared" si="15"/>
        <v>1.5714285714285714</v>
      </c>
    </row>
    <row r="91" spans="1:27" s="11" customFormat="1">
      <c r="A91" s="44"/>
      <c r="B91" s="54">
        <v>0.5</v>
      </c>
      <c r="C91" s="38">
        <f t="shared" si="34"/>
        <v>8</v>
      </c>
      <c r="D91" s="36">
        <f t="shared" si="32"/>
        <v>9</v>
      </c>
      <c r="E91" s="36">
        <f t="shared" ca="1" si="17"/>
        <v>17</v>
      </c>
      <c r="F91" s="36">
        <f t="shared" ca="1" si="18"/>
        <v>9.5225615999999995</v>
      </c>
      <c r="G91" s="36">
        <f t="shared" ca="1" si="8"/>
        <v>7.8332717263183609</v>
      </c>
      <c r="H91" s="36">
        <f t="shared" ca="1" si="9"/>
        <v>12.771143812499998</v>
      </c>
      <c r="I91" s="36">
        <f t="shared" ca="1" si="10"/>
        <v>10.196167026901245</v>
      </c>
      <c r="J91" s="36">
        <f t="shared" ca="1" si="35"/>
        <v>10.450310167709585</v>
      </c>
      <c r="K91" s="36">
        <f t="shared" ca="1" si="11"/>
        <v>437.44531933508313</v>
      </c>
      <c r="L91" s="36">
        <f t="shared" ca="1" si="12"/>
        <v>410.10498687664045</v>
      </c>
      <c r="M91" s="36">
        <f t="shared" ca="1" si="36"/>
        <v>412.80340264512171</v>
      </c>
      <c r="N91" s="36">
        <f t="shared" ca="1" si="19"/>
        <v>10.450310167709585</v>
      </c>
      <c r="O91" s="36">
        <f t="shared" ca="1" si="20"/>
        <v>412.80340264512171</v>
      </c>
      <c r="P91" s="35">
        <f t="shared" ca="1" si="21"/>
        <v>4.9735349716279726</v>
      </c>
      <c r="Q91" s="35">
        <f t="shared" ca="1" si="22"/>
        <v>2.101183610314278</v>
      </c>
      <c r="R91" s="35">
        <f t="shared" ca="1" si="23"/>
        <v>2.5201836103142781</v>
      </c>
      <c r="S91" s="35">
        <f t="shared" ca="1" si="24"/>
        <v>5.5783790381033995</v>
      </c>
      <c r="T91" s="35">
        <f t="shared" ca="1" si="33"/>
        <v>14.058539423948915</v>
      </c>
      <c r="U91" s="35">
        <f t="shared" ca="1" si="25"/>
        <v>0.74334252318610983</v>
      </c>
      <c r="V91" s="35">
        <f t="shared" ca="1" si="13"/>
        <v>0.24174488524712684</v>
      </c>
      <c r="W91" s="35">
        <f t="shared" ca="1" si="14"/>
        <v>10.450310167709585</v>
      </c>
      <c r="X91" s="35">
        <f t="shared" ca="1" si="26"/>
        <v>0.38276375875996493</v>
      </c>
      <c r="Y91" s="35">
        <f t="shared" ca="1" si="27"/>
        <v>0.2560721203987486</v>
      </c>
      <c r="Z91" s="35">
        <f t="shared" ca="1" si="28"/>
        <v>15.620599359943238</v>
      </c>
      <c r="AA91" s="45">
        <f t="shared" si="15"/>
        <v>1.7959183673469388</v>
      </c>
    </row>
    <row r="92" spans="1:27" s="11" customFormat="1">
      <c r="A92" s="44"/>
      <c r="B92" s="54">
        <v>0.5</v>
      </c>
      <c r="C92" s="38">
        <f t="shared" si="34"/>
        <v>9</v>
      </c>
      <c r="D92" s="36">
        <f t="shared" si="32"/>
        <v>9</v>
      </c>
      <c r="E92" s="36">
        <f t="shared" ca="1" si="17"/>
        <v>17</v>
      </c>
      <c r="F92" s="36">
        <f t="shared" ca="1" si="18"/>
        <v>9.5225615999999995</v>
      </c>
      <c r="G92" s="36">
        <f t="shared" ca="1" si="8"/>
        <v>7.8332717263183609</v>
      </c>
      <c r="H92" s="36">
        <f t="shared" ca="1" si="9"/>
        <v>12.771143812499998</v>
      </c>
      <c r="I92" s="36">
        <f t="shared" ca="1" si="10"/>
        <v>10.196167026901245</v>
      </c>
      <c r="J92" s="36">
        <f t="shared" ca="1" si="35"/>
        <v>11.974605568822035</v>
      </c>
      <c r="K92" s="36">
        <f t="shared" ca="1" si="11"/>
        <v>437.44531933508313</v>
      </c>
      <c r="L92" s="36">
        <f t="shared" ca="1" si="12"/>
        <v>410.10498687664045</v>
      </c>
      <c r="M92" s="36">
        <f t="shared" ca="1" si="36"/>
        <v>428.98791477912101</v>
      </c>
      <c r="N92" s="36">
        <f t="shared" ca="1" si="19"/>
        <v>11.974605568822035</v>
      </c>
      <c r="O92" s="36">
        <f t="shared" ca="1" si="20"/>
        <v>428.98791477912101</v>
      </c>
      <c r="P92" s="35">
        <f t="shared" ca="1" si="21"/>
        <v>5.1685290937243495</v>
      </c>
      <c r="Q92" s="35">
        <f t="shared" ca="1" si="22"/>
        <v>2.3168304466664709</v>
      </c>
      <c r="R92" s="35">
        <f t="shared" ca="1" si="23"/>
        <v>2.7358304466664709</v>
      </c>
      <c r="S92" s="35">
        <f t="shared" ca="1" si="24"/>
        <v>5.825128400924303</v>
      </c>
      <c r="T92" s="35">
        <f t="shared" ca="1" si="33"/>
        <v>15.93656363499028</v>
      </c>
      <c r="U92" s="35">
        <f t="shared" ca="1" si="25"/>
        <v>0.7513919464125014</v>
      </c>
      <c r="V92" s="35">
        <f t="shared" ca="1" si="13"/>
        <v>0.26655543462128145</v>
      </c>
      <c r="W92" s="35">
        <f t="shared" ca="1" si="14"/>
        <v>11.974605568822035</v>
      </c>
      <c r="X92" s="35">
        <f t="shared" ca="1" si="26"/>
        <v>0.3757952589032687</v>
      </c>
      <c r="Y92" s="35">
        <f t="shared" ca="1" si="27"/>
        <v>0.25413257793592525</v>
      </c>
      <c r="Z92" s="35">
        <f t="shared" ca="1" si="28"/>
        <v>17.707292927766979</v>
      </c>
      <c r="AA92" s="45">
        <f t="shared" si="15"/>
        <v>2.0204081632653059</v>
      </c>
    </row>
    <row r="93" spans="1:27" s="11" customFormat="1">
      <c r="A93" s="44"/>
      <c r="B93" s="54">
        <v>0.5</v>
      </c>
      <c r="C93" s="38">
        <f t="shared" si="34"/>
        <v>10</v>
      </c>
      <c r="D93" s="36">
        <f t="shared" si="32"/>
        <v>9</v>
      </c>
      <c r="E93" s="36">
        <f t="shared" ca="1" si="17"/>
        <v>16</v>
      </c>
      <c r="F93" s="36">
        <f t="shared" ca="1" si="18"/>
        <v>11.648892518494895</v>
      </c>
      <c r="G93" s="36">
        <f t="shared" ca="1" si="8"/>
        <v>9.5225615999999995</v>
      </c>
      <c r="H93" s="36">
        <f t="shared" ca="1" si="9"/>
        <v>16.19596231493713</v>
      </c>
      <c r="I93" s="36">
        <f t="shared" ca="1" si="10"/>
        <v>12.771143812499998</v>
      </c>
      <c r="J93" s="36">
        <f t="shared" ca="1" si="35"/>
        <v>13.540139763163879</v>
      </c>
      <c r="K93" s="36">
        <f t="shared" ca="1" si="11"/>
        <v>468.69141357330329</v>
      </c>
      <c r="L93" s="36">
        <f t="shared" ca="1" si="12"/>
        <v>437.44531933508313</v>
      </c>
      <c r="M93" s="36">
        <f t="shared" ca="1" si="36"/>
        <v>444.46120059306941</v>
      </c>
      <c r="N93" s="36">
        <f t="shared" ca="1" si="19"/>
        <v>13.540139763163879</v>
      </c>
      <c r="O93" s="36">
        <f t="shared" ca="1" si="20"/>
        <v>444.46120059306941</v>
      </c>
      <c r="P93" s="35">
        <f t="shared" ca="1" si="21"/>
        <v>5.354954224012884</v>
      </c>
      <c r="Q93" s="35">
        <f t="shared" ca="1" si="22"/>
        <v>2.5285257719751706</v>
      </c>
      <c r="R93" s="35">
        <f t="shared" ca="1" si="23"/>
        <v>2.9475257719751706</v>
      </c>
      <c r="S93" s="35">
        <f t="shared" ca="1" si="24"/>
        <v>6.0623604092869252</v>
      </c>
      <c r="T93" s="35">
        <f t="shared" ca="1" si="33"/>
        <v>17.868963545375156</v>
      </c>
      <c r="U93" s="35">
        <f t="shared" ca="1" si="25"/>
        <v>0.75774623014821341</v>
      </c>
      <c r="V93" s="35">
        <f t="shared" ca="1" si="13"/>
        <v>0.29091135567115589</v>
      </c>
      <c r="W93" s="35">
        <f t="shared" ca="1" si="14"/>
        <v>13.540139763163879</v>
      </c>
      <c r="X93" s="35">
        <f t="shared" ca="1" si="26"/>
        <v>0.36927240689217722</v>
      </c>
      <c r="Y93" s="35">
        <f t="shared" ca="1" si="27"/>
        <v>0.25183329679827399</v>
      </c>
      <c r="Z93" s="35">
        <f t="shared" ca="1" si="28"/>
        <v>19.85440393930573</v>
      </c>
      <c r="AA93" s="45">
        <f t="shared" si="15"/>
        <v>2.2448979591836737</v>
      </c>
    </row>
    <row r="94" spans="1:27" s="11" customFormat="1">
      <c r="A94" s="44"/>
      <c r="B94" s="54">
        <v>0.5</v>
      </c>
      <c r="C94" s="38">
        <f t="shared" si="34"/>
        <v>11</v>
      </c>
      <c r="D94" s="36">
        <f t="shared" si="32"/>
        <v>9</v>
      </c>
      <c r="E94" s="36">
        <f t="shared" ca="1" si="17"/>
        <v>16</v>
      </c>
      <c r="F94" s="36">
        <f t="shared" ca="1" si="18"/>
        <v>11.648892518494895</v>
      </c>
      <c r="G94" s="36">
        <f t="shared" ca="1" si="8"/>
        <v>9.5225615999999995</v>
      </c>
      <c r="H94" s="36">
        <f t="shared" ca="1" si="9"/>
        <v>16.19596231493713</v>
      </c>
      <c r="I94" s="36">
        <f t="shared" ca="1" si="10"/>
        <v>12.771143812499998</v>
      </c>
      <c r="J94" s="36">
        <f t="shared" ca="1" si="35"/>
        <v>15.150810271995757</v>
      </c>
      <c r="K94" s="36">
        <f t="shared" ca="1" si="11"/>
        <v>468.69141357330329</v>
      </c>
      <c r="L94" s="36">
        <f t="shared" ca="1" si="12"/>
        <v>437.44531933508313</v>
      </c>
      <c r="M94" s="36">
        <f t="shared" ca="1" si="36"/>
        <v>459.15604134736623</v>
      </c>
      <c r="N94" s="36">
        <f t="shared" ca="1" si="19"/>
        <v>15.150810271995757</v>
      </c>
      <c r="O94" s="36">
        <f t="shared" ca="1" si="20"/>
        <v>459.15604134736623</v>
      </c>
      <c r="P94" s="35">
        <f t="shared" ca="1" si="21"/>
        <v>5.5320004981610387</v>
      </c>
      <c r="Q94" s="35">
        <f t="shared" ca="1" si="22"/>
        <v>2.7387579370305963</v>
      </c>
      <c r="R94" s="35">
        <f t="shared" ca="1" si="23"/>
        <v>3.1577579370305964</v>
      </c>
      <c r="S94" s="35">
        <f t="shared" ca="1" si="24"/>
        <v>6.2898624030483816</v>
      </c>
      <c r="T94" s="35">
        <f t="shared" ca="1" si="33"/>
        <v>19.861862926056368</v>
      </c>
      <c r="U94" s="35">
        <f t="shared" ca="1" si="25"/>
        <v>0.76280912462243011</v>
      </c>
      <c r="V94" s="35">
        <f t="shared" ca="1" si="13"/>
        <v>0.31509893754981777</v>
      </c>
      <c r="W94" s="35">
        <f t="shared" ca="1" si="14"/>
        <v>15.150810271995756</v>
      </c>
      <c r="X94" s="35">
        <f t="shared" ca="1" si="26"/>
        <v>0.36301688828920348</v>
      </c>
      <c r="Y94" s="35">
        <f t="shared" ca="1" si="27"/>
        <v>0.24922133530114121</v>
      </c>
      <c r="Z94" s="35">
        <f t="shared" ca="1" si="28"/>
        <v>22.068736584507075</v>
      </c>
      <c r="AA94" s="45">
        <f t="shared" si="15"/>
        <v>2.4693877551020407</v>
      </c>
    </row>
    <row r="95" spans="1:27" s="11" customFormat="1">
      <c r="A95" s="44"/>
      <c r="B95" s="54">
        <v>0.5</v>
      </c>
      <c r="C95" s="38">
        <f t="shared" si="34"/>
        <v>12</v>
      </c>
      <c r="D95" s="36">
        <f t="shared" si="32"/>
        <v>9</v>
      </c>
      <c r="E95" s="36">
        <f t="shared" ca="1" si="17"/>
        <v>15</v>
      </c>
      <c r="F95" s="36">
        <f t="shared" ca="1" si="18"/>
        <v>14.341949747041422</v>
      </c>
      <c r="G95" s="36">
        <f t="shared" ca="1" si="8"/>
        <v>11.648892518494895</v>
      </c>
      <c r="H95" s="36">
        <f t="shared" ca="1" si="9"/>
        <v>20.837883849425346</v>
      </c>
      <c r="I95" s="36">
        <f t="shared" ca="1" si="10"/>
        <v>16.19596231493713</v>
      </c>
      <c r="J95" s="36">
        <f t="shared" ca="1" si="35"/>
        <v>16.801153085501667</v>
      </c>
      <c r="K95" s="36">
        <f t="shared" ca="1" si="11"/>
        <v>504.74459923278818</v>
      </c>
      <c r="L95" s="36">
        <f t="shared" ca="1" si="12"/>
        <v>468.69141357330329</v>
      </c>
      <c r="M95" s="36">
        <f t="shared" ca="1" si="36"/>
        <v>473.39184959930253</v>
      </c>
      <c r="N95" s="36">
        <f t="shared" ca="1" si="19"/>
        <v>16.801153085501667</v>
      </c>
      <c r="O95" s="36">
        <f t="shared" ca="1" si="20"/>
        <v>473.39184959930253</v>
      </c>
      <c r="P95" s="35">
        <f t="shared" ca="1" si="21"/>
        <v>5.7035162602325604</v>
      </c>
      <c r="Q95" s="35">
        <f t="shared" ca="1" si="22"/>
        <v>2.9457535174654876</v>
      </c>
      <c r="R95" s="35">
        <f t="shared" ca="1" si="23"/>
        <v>3.3647535174654877</v>
      </c>
      <c r="S95" s="35">
        <f t="shared" ca="1" si="24"/>
        <v>6.5110571044242773</v>
      </c>
      <c r="T95" s="35">
        <f t="shared" ca="1" si="33"/>
        <v>21.908102294530241</v>
      </c>
      <c r="U95" s="35">
        <f t="shared" ca="1" si="25"/>
        <v>0.76689221456193324</v>
      </c>
      <c r="V95" s="35">
        <f t="shared" ca="1" si="13"/>
        <v>0.33891414465178565</v>
      </c>
      <c r="W95" s="35">
        <f t="shared" ca="1" si="14"/>
        <v>16.801153085501667</v>
      </c>
      <c r="X95" s="35">
        <f t="shared" ca="1" si="26"/>
        <v>0.35711834595314895</v>
      </c>
      <c r="Y95" s="35">
        <f t="shared" ca="1" si="27"/>
        <v>0.24648415126983453</v>
      </c>
      <c r="Z95" s="35">
        <f t="shared" ca="1" si="28"/>
        <v>24.34233588281138</v>
      </c>
      <c r="AA95" s="45">
        <f t="shared" si="15"/>
        <v>2.693877551020408</v>
      </c>
    </row>
    <row r="96" spans="1:27" s="11" customFormat="1">
      <c r="A96" s="44"/>
      <c r="B96" s="54">
        <v>0.5</v>
      </c>
      <c r="C96" s="38">
        <f t="shared" si="34"/>
        <v>13</v>
      </c>
      <c r="D96" s="36">
        <f t="shared" si="32"/>
        <v>9</v>
      </c>
      <c r="E96" s="36">
        <f t="shared" ca="1" si="17"/>
        <v>15</v>
      </c>
      <c r="F96" s="36">
        <f t="shared" ca="1" si="18"/>
        <v>14.341949747041422</v>
      </c>
      <c r="G96" s="36">
        <f t="shared" ca="1" si="8"/>
        <v>11.648892518494895</v>
      </c>
      <c r="H96" s="36">
        <f t="shared" ca="1" si="9"/>
        <v>20.837883849425346</v>
      </c>
      <c r="I96" s="36">
        <f t="shared" ca="1" si="10"/>
        <v>16.19596231493713</v>
      </c>
      <c r="J96" s="36">
        <f t="shared" ca="1" si="35"/>
        <v>18.524815503545977</v>
      </c>
      <c r="K96" s="36">
        <f t="shared" ca="1" si="11"/>
        <v>504.74459923278818</v>
      </c>
      <c r="L96" s="36">
        <f t="shared" ca="1" si="12"/>
        <v>468.69141357330329</v>
      </c>
      <c r="M96" s="36">
        <f t="shared" ca="1" si="36"/>
        <v>486.77930578750357</v>
      </c>
      <c r="N96" s="36">
        <f t="shared" ca="1" si="19"/>
        <v>18.524815503545977</v>
      </c>
      <c r="O96" s="36">
        <f t="shared" ca="1" si="20"/>
        <v>486.77930578750357</v>
      </c>
      <c r="P96" s="35">
        <f t="shared" ca="1" si="21"/>
        <v>5.8648109131024526</v>
      </c>
      <c r="Q96" s="35">
        <f t="shared" ca="1" si="22"/>
        <v>3.1586381518558544</v>
      </c>
      <c r="R96" s="35">
        <f t="shared" ca="1" si="23"/>
        <v>3.5776381518558544</v>
      </c>
      <c r="S96" s="35">
        <f t="shared" ca="1" si="24"/>
        <v>6.7234440695478579</v>
      </c>
      <c r="T96" s="35">
        <f t="shared" ca="1" si="33"/>
        <v>24.054050015083401</v>
      </c>
      <c r="U96" s="35">
        <f t="shared" ca="1" si="25"/>
        <v>0.77013290867565976</v>
      </c>
      <c r="V96" s="35">
        <f t="shared" ca="1" si="13"/>
        <v>0.36340689781193353</v>
      </c>
      <c r="W96" s="35">
        <f t="shared" ca="1" si="14"/>
        <v>18.524815503545977</v>
      </c>
      <c r="X96" s="35">
        <f t="shared" ca="1" si="26"/>
        <v>0.35088068751647139</v>
      </c>
      <c r="Y96" s="35">
        <f t="shared" ca="1" si="27"/>
        <v>0.24320228802765781</v>
      </c>
      <c r="Z96" s="35">
        <f t="shared" ca="1" si="28"/>
        <v>26.726722238981555</v>
      </c>
      <c r="AA96" s="45">
        <f t="shared" si="15"/>
        <v>2.9183673469387754</v>
      </c>
    </row>
    <row r="97" spans="1:27" s="11" customFormat="1">
      <c r="A97" s="44"/>
      <c r="B97" s="54">
        <v>0.5</v>
      </c>
      <c r="C97" s="38">
        <f t="shared" si="34"/>
        <v>14</v>
      </c>
      <c r="D97" s="36">
        <f t="shared" si="32"/>
        <v>9</v>
      </c>
      <c r="E97" s="36">
        <f t="shared" ca="1" si="17"/>
        <v>15</v>
      </c>
      <c r="F97" s="36">
        <f t="shared" ca="1" si="18"/>
        <v>14.341949747041422</v>
      </c>
      <c r="G97" s="36">
        <f t="shared" ca="1" si="8"/>
        <v>11.648892518494895</v>
      </c>
      <c r="H97" s="36">
        <f t="shared" ca="1" si="9"/>
        <v>20.837883849425346</v>
      </c>
      <c r="I97" s="36">
        <f t="shared" ca="1" si="10"/>
        <v>16.19596231493713</v>
      </c>
      <c r="J97" s="36">
        <f t="shared" ca="1" si="35"/>
        <v>20.248477921590286</v>
      </c>
      <c r="K97" s="36">
        <f t="shared" ca="1" si="11"/>
        <v>504.74459923278818</v>
      </c>
      <c r="L97" s="36">
        <f t="shared" ca="1" si="12"/>
        <v>468.69141357330329</v>
      </c>
      <c r="M97" s="36">
        <f t="shared" ca="1" si="36"/>
        <v>500.16676197570467</v>
      </c>
      <c r="N97" s="36">
        <f t="shared" ca="1" si="19"/>
        <v>20.248477921590286</v>
      </c>
      <c r="O97" s="36">
        <f t="shared" ca="1" si="20"/>
        <v>500.16676197570467</v>
      </c>
      <c r="P97" s="35">
        <f t="shared" ca="1" si="21"/>
        <v>6.0261055659723457</v>
      </c>
      <c r="Q97" s="35">
        <f t="shared" ca="1" si="22"/>
        <v>3.3601266522656879</v>
      </c>
      <c r="R97" s="35">
        <f t="shared" ca="1" si="23"/>
        <v>3.7791266522656879</v>
      </c>
      <c r="S97" s="35">
        <f t="shared" ca="1" si="24"/>
        <v>6.933095962516111</v>
      </c>
      <c r="T97" s="35">
        <f t="shared" ca="1" si="33"/>
        <v>26.201047734660268</v>
      </c>
      <c r="U97" s="35">
        <f t="shared" ca="1" si="25"/>
        <v>0.77281176411905173</v>
      </c>
      <c r="V97" s="35">
        <f t="shared" ca="1" si="13"/>
        <v>0.3865885056310166</v>
      </c>
      <c r="W97" s="35">
        <f t="shared" ca="1" si="14"/>
        <v>20.248477921590286</v>
      </c>
      <c r="X97" s="35">
        <f t="shared" ca="1" si="26"/>
        <v>0.34570499704257424</v>
      </c>
      <c r="Y97" s="35">
        <f t="shared" ca="1" si="27"/>
        <v>0.24044839976631904</v>
      </c>
      <c r="Z97" s="35">
        <f t="shared" ca="1" si="28"/>
        <v>29.112275260733629</v>
      </c>
      <c r="AA97" s="45">
        <f t="shared" si="15"/>
        <v>3.1428571428571428</v>
      </c>
    </row>
    <row r="98" spans="1:27" s="11" customFormat="1">
      <c r="A98" s="44"/>
      <c r="B98" s="54">
        <v>0.5</v>
      </c>
      <c r="C98" s="38">
        <f t="shared" si="34"/>
        <v>15</v>
      </c>
      <c r="D98" s="36">
        <f t="shared" si="32"/>
        <v>9</v>
      </c>
      <c r="E98" s="36">
        <f t="shared" ca="1" si="17"/>
        <v>14</v>
      </c>
      <c r="F98" s="36">
        <f t="shared" ca="1" si="18"/>
        <v>16.369283390400003</v>
      </c>
      <c r="G98" s="36">
        <f t="shared" ca="1" si="8"/>
        <v>14.341949747041422</v>
      </c>
      <c r="H98" s="36">
        <f t="shared" ca="1" si="9"/>
        <v>24.082558286400001</v>
      </c>
      <c r="I98" s="36">
        <f t="shared" ca="1" si="10"/>
        <v>20.837883849425346</v>
      </c>
      <c r="J98" s="36">
        <f t="shared" ca="1" si="35"/>
        <v>21.891069565064235</v>
      </c>
      <c r="K98" s="36">
        <f t="shared" ca="1" si="11"/>
        <v>524.93438320209975</v>
      </c>
      <c r="L98" s="36">
        <f t="shared" ca="1" si="12"/>
        <v>504.74459923278818</v>
      </c>
      <c r="M98" s="36">
        <f t="shared" ca="1" si="36"/>
        <v>511.29798154936361</v>
      </c>
      <c r="N98" s="36">
        <f t="shared" ca="1" si="19"/>
        <v>21.891069565064235</v>
      </c>
      <c r="O98" s="36">
        <f t="shared" ca="1" si="20"/>
        <v>511.29798154936361</v>
      </c>
      <c r="P98" s="35">
        <f t="shared" ca="1" si="21"/>
        <v>6.1602166451730556</v>
      </c>
      <c r="Q98" s="35">
        <f t="shared" ca="1" si="22"/>
        <v>3.5536200796147912</v>
      </c>
      <c r="R98" s="35">
        <f t="shared" ca="1" si="23"/>
        <v>3.9726200796147912</v>
      </c>
      <c r="S98" s="35">
        <f t="shared" ca="1" si="24"/>
        <v>7.1136454642806051</v>
      </c>
      <c r="T98" s="35">
        <f t="shared" ca="1" si="33"/>
        <v>28.259810810661815</v>
      </c>
      <c r="U98" s="35">
        <f t="shared" ca="1" si="25"/>
        <v>0.77463609759217522</v>
      </c>
      <c r="V98" s="35">
        <f t="shared" ca="1" si="13"/>
        <v>0.40885026617444004</v>
      </c>
      <c r="W98" s="35">
        <f t="shared" ca="1" si="14"/>
        <v>21.891069565064235</v>
      </c>
      <c r="X98" s="35">
        <f t="shared" ca="1" si="26"/>
        <v>0.34260546190804603</v>
      </c>
      <c r="Y98" s="35">
        <f t="shared" ca="1" si="27"/>
        <v>0.23885510222359208</v>
      </c>
      <c r="Z98" s="35">
        <f t="shared" ca="1" si="28"/>
        <v>31.399789789624236</v>
      </c>
      <c r="AA98" s="45">
        <f t="shared" si="15"/>
        <v>3.3673469387755102</v>
      </c>
    </row>
    <row r="99" spans="1:27" s="11" customFormat="1" ht="15.75" thickBot="1">
      <c r="A99" s="46"/>
      <c r="B99" s="55">
        <v>0.5</v>
      </c>
      <c r="C99" s="38">
        <f t="shared" si="34"/>
        <v>16</v>
      </c>
      <c r="D99" s="47">
        <f t="shared" si="32"/>
        <v>9</v>
      </c>
      <c r="E99" s="47">
        <f t="shared" ca="1" si="17"/>
        <v>14</v>
      </c>
      <c r="F99" s="47">
        <f t="shared" ca="1" si="18"/>
        <v>16.369283390400003</v>
      </c>
      <c r="G99" s="47">
        <f t="shared" ca="1" si="8"/>
        <v>14.341949747041422</v>
      </c>
      <c r="H99" s="47">
        <f t="shared" ca="1" si="9"/>
        <v>24.082558286400001</v>
      </c>
      <c r="I99" s="47">
        <f t="shared" ca="1" si="10"/>
        <v>20.837883849425346</v>
      </c>
      <c r="J99" s="47">
        <f t="shared" ca="1" si="35"/>
        <v>23.491533527966446</v>
      </c>
      <c r="K99" s="47">
        <f t="shared" ca="1" si="11"/>
        <v>524.93438320209975</v>
      </c>
      <c r="L99" s="47">
        <f t="shared" ca="1" si="12"/>
        <v>504.74459923278818</v>
      </c>
      <c r="M99" s="47">
        <f t="shared" ca="1" si="36"/>
        <v>521.2567685676978</v>
      </c>
      <c r="N99" s="47">
        <f t="shared" ca="1" si="19"/>
        <v>23.491533527966446</v>
      </c>
      <c r="O99" s="47">
        <f t="shared" ca="1" si="20"/>
        <v>521.2567685676978</v>
      </c>
      <c r="P99" s="48">
        <f t="shared" ca="1" si="21"/>
        <v>6.2802020309361177</v>
      </c>
      <c r="Q99" s="48">
        <f t="shared" ca="1" si="22"/>
        <v>3.7405697161090901</v>
      </c>
      <c r="R99" s="48">
        <f t="shared" ca="1" si="23"/>
        <v>4.1595697161090897</v>
      </c>
      <c r="S99" s="48">
        <f t="shared" ca="1" si="24"/>
        <v>7.2784987628022995</v>
      </c>
      <c r="T99" s="48">
        <f t="shared" ca="1" si="33"/>
        <v>30.275423032489922</v>
      </c>
      <c r="U99" s="48">
        <f t="shared" ca="1" si="25"/>
        <v>0.77592750736320426</v>
      </c>
      <c r="V99" s="48">
        <f t="shared" ca="1" si="13"/>
        <v>0.43035915202309111</v>
      </c>
      <c r="W99" s="48">
        <f t="shared" ca="1" si="14"/>
        <v>23.491533527966446</v>
      </c>
      <c r="X99" s="48">
        <f t="shared" ca="1" si="26"/>
        <v>0.3405482230641127</v>
      </c>
      <c r="Y99" s="48">
        <f t="shared" ca="1" si="27"/>
        <v>0.23781666047319491</v>
      </c>
      <c r="Z99" s="48">
        <f t="shared" ca="1" si="28"/>
        <v>33.639358924988798</v>
      </c>
      <c r="AA99" s="49">
        <f t="shared" si="15"/>
        <v>3.5918367346938775</v>
      </c>
    </row>
    <row r="100" spans="1:27">
      <c r="A100" s="99" t="str">
        <f>_xlfn.CONCAT("v = ", TEXT(B100,"0.0"), " m/s")</f>
        <v>v = 1.0 m/s</v>
      </c>
      <c r="B100" s="50">
        <f>$B$8</f>
        <v>1</v>
      </c>
      <c r="C100" s="102">
        <f>C84</f>
        <v>1</v>
      </c>
      <c r="D100" s="101">
        <f>COLUMN($L$34)</f>
        <v>12</v>
      </c>
      <c r="E100" s="39">
        <f t="shared" ref="E100:E131" ca="1" si="37">MATCH($C100,OFFSET($A$34,0,$D100+1,30,1),-1)</f>
        <v>29</v>
      </c>
      <c r="F100" s="39">
        <f t="shared" ref="F100:F131" ca="1" si="38">INDEX(OFFSET($A$34,0,$D100+1,30,1),$E100)</f>
        <v>1.1250623463866143</v>
      </c>
      <c r="G100" s="39">
        <f t="shared" ref="G100:G131" ca="1" si="39">INDEX(OFFSET($A$34,0,$D100+1,30,1),$E100+1)</f>
        <v>1.7707242644628102E-2</v>
      </c>
      <c r="H100" s="39">
        <f t="shared" ref="H100:H131" ca="1" si="40">INDEX(OFFSET($A$34,0,$D100,30,1),$E100)</f>
        <v>11.153480248795985</v>
      </c>
      <c r="I100" s="39">
        <f t="shared" ref="I100:I131" ca="1" si="41">INDEX(OFFSET($A$34,0,$D100,30,1),$E100+1)</f>
        <v>9.2721561484598052</v>
      </c>
      <c r="J100" s="39">
        <f ca="1">H100+ (H100-I100)/(F100-G100)*(C100-F100)</f>
        <v>10.941007478763446</v>
      </c>
      <c r="K100" s="39">
        <f t="shared" ref="K100:K131" ca="1" si="42">INDEX(OFFSET($A$34,0,$D100-1,30,1),$E100)</f>
        <v>495.221116228396</v>
      </c>
      <c r="L100" s="39">
        <f t="shared" ref="L100:L131" ca="1" si="43">INDEX(OFFSET($A$34,0,$D100-1,30,1),$E100+1)</f>
        <v>477.21307563827247</v>
      </c>
      <c r="M100" s="39">
        <f ca="1">K100+ (K100-L100)/(F100-G100)*(C100-F100)</f>
        <v>493.18732616194325</v>
      </c>
      <c r="N100" s="39">
        <f t="shared" ca="1" si="19"/>
        <v>10.941007478763446</v>
      </c>
      <c r="O100" s="39">
        <f t="shared" ca="1" si="20"/>
        <v>493.18732616194325</v>
      </c>
      <c r="P100" s="14">
        <f t="shared" ca="1" si="21"/>
        <v>5.9420159778547381</v>
      </c>
      <c r="Q100" s="14">
        <f t="shared" ca="1" si="22"/>
        <v>1.8412955332902869</v>
      </c>
      <c r="R100" s="14">
        <f t="shared" ca="1" si="23"/>
        <v>2.2602955332902868</v>
      </c>
      <c r="S100" s="14">
        <f t="shared" ca="1" si="24"/>
        <v>6.484486905844407</v>
      </c>
      <c r="T100" s="14">
        <f ca="1">R100*S100</f>
        <v>14.656856788959466</v>
      </c>
      <c r="U100" s="14">
        <f t="shared" ca="1" si="25"/>
        <v>0.74647706778474843</v>
      </c>
      <c r="V100" s="14">
        <f t="shared" ref="V100:V131" ca="1" si="44">J100/(M100/60*2*PI())</f>
        <v>0.21184430299964579</v>
      </c>
      <c r="W100" s="14">
        <f t="shared" ref="W100:W131" ca="1" si="45">V100*(M100/60*2*PI())</f>
        <v>10.941007478763446</v>
      </c>
      <c r="X100" s="14">
        <f t="shared" ca="1" si="26"/>
        <v>9.1399261168681717E-2</v>
      </c>
      <c r="Y100" s="14">
        <f t="shared" ca="1" si="27"/>
        <v>6.1404707227400948E-2</v>
      </c>
      <c r="Z100" s="14">
        <f t="shared" ca="1" si="28"/>
        <v>16.285396432177183</v>
      </c>
      <c r="AA100" s="15">
        <f t="shared" ref="AA100:AA131" si="46">C100/9.8*2.2</f>
        <v>0.22448979591836735</v>
      </c>
    </row>
    <row r="101" spans="1:27">
      <c r="A101" s="16"/>
      <c r="B101" s="51">
        <f t="shared" ref="B101:B115" si="47">$B$8</f>
        <v>1</v>
      </c>
      <c r="C101" s="117">
        <f>C85</f>
        <v>2</v>
      </c>
      <c r="D101" s="34">
        <f t="shared" ref="D101:D115" si="48">COLUMN($L$34)</f>
        <v>12</v>
      </c>
      <c r="E101" s="34">
        <f t="shared" ca="1" si="37"/>
        <v>28</v>
      </c>
      <c r="F101" s="34">
        <f t="shared" ca="1" si="38"/>
        <v>2.2447214844290655</v>
      </c>
      <c r="G101" s="34">
        <f t="shared" ca="1" si="39"/>
        <v>1.1250623463866143</v>
      </c>
      <c r="H101" s="34">
        <f t="shared" ca="1" si="40"/>
        <v>13.244623977203338</v>
      </c>
      <c r="I101" s="34">
        <f t="shared" ca="1" si="41"/>
        <v>11.153480248795985</v>
      </c>
      <c r="J101" s="34">
        <f ca="1">H101+ (H101-I101)/(F101-G101)*(C101-F101)</f>
        <v>12.787567199847786</v>
      </c>
      <c r="K101" s="34">
        <f t="shared" ca="1" si="42"/>
        <v>514.64155215892129</v>
      </c>
      <c r="L101" s="34">
        <f t="shared" ca="1" si="43"/>
        <v>495.221116228396</v>
      </c>
      <c r="M101" s="34">
        <f ca="1">K101+ (K101-L101)/(F101-G101)*(C101-F101)</f>
        <v>510.39686933742718</v>
      </c>
      <c r="N101" s="34">
        <f t="shared" ca="1" si="19"/>
        <v>12.787567199847786</v>
      </c>
      <c r="O101" s="34">
        <f t="shared" ca="1" si="20"/>
        <v>510.39686933742718</v>
      </c>
      <c r="P101" s="7">
        <f t="shared" ca="1" si="21"/>
        <v>6.1493598715352675</v>
      </c>
      <c r="Q101" s="7">
        <f t="shared" ca="1" si="22"/>
        <v>2.0794956657261308</v>
      </c>
      <c r="R101" s="7">
        <f t="shared" ca="1" si="23"/>
        <v>2.4984956657261308</v>
      </c>
      <c r="S101" s="7">
        <f t="shared" ca="1" si="24"/>
        <v>6.7489988313095388</v>
      </c>
      <c r="T101" s="7">
        <f t="shared" ref="T101:T115" ca="1" si="49">R101*S101</f>
        <v>16.862344328017606</v>
      </c>
      <c r="U101" s="7">
        <f t="shared" ca="1" si="25"/>
        <v>0.75835049688794576</v>
      </c>
      <c r="V101" s="7">
        <f t="shared" ca="1" si="44"/>
        <v>0.23924964891938705</v>
      </c>
      <c r="W101" s="7">
        <f t="shared" ca="1" si="45"/>
        <v>12.787567199847786</v>
      </c>
      <c r="X101" s="7">
        <f t="shared" ca="1" si="26"/>
        <v>0.15640191513705645</v>
      </c>
      <c r="Y101" s="7">
        <f t="shared" ca="1" si="27"/>
        <v>0.10674672305257178</v>
      </c>
      <c r="Z101" s="7">
        <f t="shared" ca="1" si="28"/>
        <v>18.735938142241785</v>
      </c>
      <c r="AA101" s="17">
        <f t="shared" si="46"/>
        <v>0.44897959183673469</v>
      </c>
    </row>
    <row r="102" spans="1:27">
      <c r="A102" s="16"/>
      <c r="B102" s="51">
        <f t="shared" si="47"/>
        <v>1</v>
      </c>
      <c r="C102" s="117">
        <f t="shared" ref="C102:C115" si="50">C86</f>
        <v>3</v>
      </c>
      <c r="D102" s="34">
        <f t="shared" si="48"/>
        <v>12</v>
      </c>
      <c r="E102" s="34">
        <f t="shared" ca="1" si="37"/>
        <v>27</v>
      </c>
      <c r="F102" s="34">
        <f t="shared" ca="1" si="38"/>
        <v>3.8818022349021226</v>
      </c>
      <c r="G102" s="34">
        <f t="shared" ca="1" si="39"/>
        <v>2.2447214844290655</v>
      </c>
      <c r="H102" s="34">
        <f t="shared" ca="1" si="40"/>
        <v>16.25385172249657</v>
      </c>
      <c r="I102" s="34">
        <f t="shared" ca="1" si="41"/>
        <v>13.244623977203338</v>
      </c>
      <c r="J102" s="34">
        <f ca="1">H102+ (H102-I102)/(F102-G102)*(C102-F102)</f>
        <v>14.632951989626173</v>
      </c>
      <c r="K102" s="34">
        <f t="shared" ca="1" si="42"/>
        <v>535.64732979806092</v>
      </c>
      <c r="L102" s="34">
        <f t="shared" ca="1" si="43"/>
        <v>514.64155215892129</v>
      </c>
      <c r="M102" s="34">
        <f ca="1">K102+ (K102-L102)/(F102-G102)*(C102-F102)</f>
        <v>524.33271281127031</v>
      </c>
      <c r="N102" s="34">
        <f t="shared" ca="1" si="19"/>
        <v>14.632951989626173</v>
      </c>
      <c r="O102" s="34">
        <f t="shared" ca="1" si="20"/>
        <v>524.33271281127031</v>
      </c>
      <c r="P102" s="7">
        <f t="shared" ca="1" si="21"/>
        <v>6.3172616001357866</v>
      </c>
      <c r="Q102" s="7">
        <f t="shared" ca="1" si="22"/>
        <v>2.3163441560361604</v>
      </c>
      <c r="R102" s="7">
        <f t="shared" ca="1" si="23"/>
        <v>2.7353441560361604</v>
      </c>
      <c r="S102" s="7">
        <f t="shared" ca="1" si="24"/>
        <v>6.9737441975844652</v>
      </c>
      <c r="T102" s="7">
        <f t="shared" ca="1" si="49"/>
        <v>19.07559043655375</v>
      </c>
      <c r="U102" s="7">
        <f t="shared" ca="1" si="25"/>
        <v>0.76710348957721719</v>
      </c>
      <c r="V102" s="7">
        <f t="shared" ca="1" si="44"/>
        <v>0.26649948602543094</v>
      </c>
      <c r="W102" s="7">
        <f t="shared" ca="1" si="45"/>
        <v>14.632951989626173</v>
      </c>
      <c r="X102" s="7">
        <f t="shared" ca="1" si="26"/>
        <v>0.20501673224423944</v>
      </c>
      <c r="Y102" s="7">
        <f t="shared" ca="1" si="27"/>
        <v>0.14154214565364667</v>
      </c>
      <c r="Z102" s="7">
        <f t="shared" ca="1" si="28"/>
        <v>21.195100485059722</v>
      </c>
      <c r="AA102" s="17">
        <f t="shared" si="46"/>
        <v>0.67346938775510201</v>
      </c>
    </row>
    <row r="103" spans="1:27">
      <c r="A103" s="16"/>
      <c r="B103" s="51">
        <f t="shared" si="47"/>
        <v>1</v>
      </c>
      <c r="C103" s="117">
        <f t="shared" si="50"/>
        <v>4</v>
      </c>
      <c r="D103" s="34">
        <f t="shared" si="48"/>
        <v>12</v>
      </c>
      <c r="E103" s="34">
        <f t="shared" ca="1" si="37"/>
        <v>26</v>
      </c>
      <c r="F103" s="34">
        <f t="shared" ca="1" si="38"/>
        <v>5.5771000769578993</v>
      </c>
      <c r="G103" s="34">
        <f t="shared" ca="1" si="39"/>
        <v>3.8818022349021226</v>
      </c>
      <c r="H103" s="34">
        <f t="shared" ca="1" si="40"/>
        <v>19.553385098677555</v>
      </c>
      <c r="I103" s="34">
        <f t="shared" ca="1" si="41"/>
        <v>16.25385172249657</v>
      </c>
      <c r="J103" s="34">
        <f ca="1">H103+ (H103-I103)/(F103-G103)*(C103-F103)</f>
        <v>16.483898302664173</v>
      </c>
      <c r="K103" s="34">
        <f t="shared" ca="1" si="42"/>
        <v>558.44083319372317</v>
      </c>
      <c r="L103" s="34">
        <f t="shared" ca="1" si="43"/>
        <v>535.64732979806092</v>
      </c>
      <c r="M103" s="34">
        <f ca="1">K103+ (K103-L103)/(F103-G103)*(C103-F103)</f>
        <v>537.23651436096418</v>
      </c>
      <c r="N103" s="34">
        <f t="shared" ca="1" si="19"/>
        <v>16.483898302664173</v>
      </c>
      <c r="O103" s="34">
        <f t="shared" ca="1" si="20"/>
        <v>537.23651436096418</v>
      </c>
      <c r="P103" s="7">
        <f t="shared" ca="1" si="21"/>
        <v>6.4727290886863154</v>
      </c>
      <c r="Q103" s="7">
        <f t="shared" ca="1" si="22"/>
        <v>2.5466689671094658</v>
      </c>
      <c r="R103" s="7">
        <f t="shared" ca="1" si="23"/>
        <v>2.9656689671094658</v>
      </c>
      <c r="S103" s="7">
        <f t="shared" ca="1" si="24"/>
        <v>7.1844896407925871</v>
      </c>
      <c r="T103" s="7">
        <f t="shared" ca="1" si="49"/>
        <v>21.30681797221801</v>
      </c>
      <c r="U103" s="7">
        <f t="shared" ca="1" si="25"/>
        <v>0.77364430128222572</v>
      </c>
      <c r="V103" s="7">
        <f t="shared" ca="1" si="44"/>
        <v>0.29299876231388161</v>
      </c>
      <c r="W103" s="7">
        <f t="shared" ca="1" si="45"/>
        <v>16.483898302664173</v>
      </c>
      <c r="X103" s="7">
        <f t="shared" ca="1" si="26"/>
        <v>0.24266104574022451</v>
      </c>
      <c r="Y103" s="7">
        <f t="shared" ca="1" si="27"/>
        <v>0.16896000166209918</v>
      </c>
      <c r="Z103" s="7">
        <f t="shared" ca="1" si="28"/>
        <v>23.674242191353343</v>
      </c>
      <c r="AA103" s="17">
        <f t="shared" si="46"/>
        <v>0.89795918367346939</v>
      </c>
    </row>
    <row r="104" spans="1:27">
      <c r="A104" s="16"/>
      <c r="B104" s="51">
        <f t="shared" si="47"/>
        <v>1</v>
      </c>
      <c r="C104" s="117">
        <f t="shared" si="50"/>
        <v>5</v>
      </c>
      <c r="D104" s="34">
        <f t="shared" si="48"/>
        <v>12</v>
      </c>
      <c r="E104" s="34">
        <f t="shared" ca="1" si="37"/>
        <v>26</v>
      </c>
      <c r="F104" s="34">
        <f t="shared" ca="1" si="38"/>
        <v>5.5771000769578993</v>
      </c>
      <c r="G104" s="34">
        <f t="shared" ca="1" si="39"/>
        <v>3.8818022349021226</v>
      </c>
      <c r="H104" s="34">
        <f t="shared" ca="1" si="40"/>
        <v>19.553385098677555</v>
      </c>
      <c r="I104" s="34">
        <f t="shared" ca="1" si="41"/>
        <v>16.25385172249657</v>
      </c>
      <c r="J104" s="34">
        <f t="shared" ref="J104:J115" ca="1" si="51">H104+ (H104-I104)/(F104-G104)*(C104-F104)</f>
        <v>18.43018366581892</v>
      </c>
      <c r="K104" s="34">
        <f t="shared" ca="1" si="42"/>
        <v>558.44083319372317</v>
      </c>
      <c r="L104" s="34">
        <f t="shared" ca="1" si="43"/>
        <v>535.64732979806092</v>
      </c>
      <c r="M104" s="34">
        <f t="shared" ref="M104:M115" ca="1" si="52">K104+ (K104-L104)/(F104-G104)*(C104-F104)</f>
        <v>550.68164643759201</v>
      </c>
      <c r="N104" s="34">
        <f t="shared" ca="1" si="19"/>
        <v>18.43018366581892</v>
      </c>
      <c r="O104" s="34">
        <f t="shared" ca="1" si="20"/>
        <v>550.68164643759201</v>
      </c>
      <c r="P104" s="7">
        <f t="shared" ca="1" si="21"/>
        <v>6.6347186317782167</v>
      </c>
      <c r="Q104" s="7">
        <f t="shared" ca="1" si="22"/>
        <v>2.7778395269912628</v>
      </c>
      <c r="R104" s="7">
        <f t="shared" ca="1" si="23"/>
        <v>3.1968395269912628</v>
      </c>
      <c r="S104" s="7">
        <f t="shared" ca="1" si="24"/>
        <v>7.4019601182561194</v>
      </c>
      <c r="T104" s="7">
        <f t="shared" ca="1" si="49"/>
        <v>23.662878683254085</v>
      </c>
      <c r="U104" s="7">
        <f t="shared" ca="1" si="25"/>
        <v>0.77886481659823259</v>
      </c>
      <c r="V104" s="7">
        <f t="shared" ca="1" si="44"/>
        <v>0.31959534349641827</v>
      </c>
      <c r="W104" s="7">
        <f t="shared" ca="1" si="45"/>
        <v>18.43018366581892</v>
      </c>
      <c r="X104" s="7">
        <f t="shared" ca="1" si="26"/>
        <v>0.27129409509212465</v>
      </c>
      <c r="Y104" s="7">
        <f t="shared" ca="1" si="27"/>
        <v>0.19017128305630002</v>
      </c>
      <c r="Z104" s="7">
        <f t="shared" ca="1" si="28"/>
        <v>26.29208742583787</v>
      </c>
      <c r="AA104" s="17">
        <f t="shared" si="46"/>
        <v>1.1224489795918369</v>
      </c>
    </row>
    <row r="105" spans="1:27">
      <c r="A105" s="16"/>
      <c r="B105" s="51">
        <f t="shared" si="47"/>
        <v>1</v>
      </c>
      <c r="C105" s="117">
        <f t="shared" si="50"/>
        <v>6</v>
      </c>
      <c r="D105" s="34">
        <f t="shared" si="48"/>
        <v>12</v>
      </c>
      <c r="E105" s="34">
        <f t="shared" ca="1" si="37"/>
        <v>25</v>
      </c>
      <c r="F105" s="34">
        <f t="shared" ca="1" si="38"/>
        <v>7.5386946000000004</v>
      </c>
      <c r="G105" s="34">
        <f t="shared" ca="1" si="39"/>
        <v>5.5771000769578993</v>
      </c>
      <c r="H105" s="34">
        <f t="shared" ca="1" si="40"/>
        <v>23.571279022222217</v>
      </c>
      <c r="I105" s="34">
        <f t="shared" ca="1" si="41"/>
        <v>19.553385098677555</v>
      </c>
      <c r="J105" s="34">
        <f t="shared" ca="1" si="51"/>
        <v>20.419602357697652</v>
      </c>
      <c r="K105" s="34">
        <f t="shared" ca="1" si="42"/>
        <v>583.26042578011084</v>
      </c>
      <c r="L105" s="34">
        <f t="shared" ca="1" si="43"/>
        <v>558.44083319372317</v>
      </c>
      <c r="M105" s="34">
        <f t="shared" ca="1" si="52"/>
        <v>563.79168612047476</v>
      </c>
      <c r="N105" s="34">
        <f t="shared" ca="1" si="19"/>
        <v>20.419602357697652</v>
      </c>
      <c r="O105" s="34">
        <f t="shared" ca="1" si="20"/>
        <v>563.79168612047476</v>
      </c>
      <c r="P105" s="7">
        <f t="shared" ca="1" si="21"/>
        <v>6.7926709171141537</v>
      </c>
      <c r="Q105" s="7">
        <f t="shared" ca="1" si="22"/>
        <v>3.0061227176853813</v>
      </c>
      <c r="R105" s="7">
        <f t="shared" ca="1" si="23"/>
        <v>3.4251227176853813</v>
      </c>
      <c r="S105" s="7">
        <f t="shared" ca="1" si="24"/>
        <v>7.614700369358645</v>
      </c>
      <c r="T105" s="7">
        <f t="shared" ca="1" si="49"/>
        <v>26.081283223457561</v>
      </c>
      <c r="U105" s="7">
        <f t="shared" ca="1" si="25"/>
        <v>0.78292169072924367</v>
      </c>
      <c r="V105" s="7">
        <f t="shared" ca="1" si="44"/>
        <v>0.34585972775455709</v>
      </c>
      <c r="W105" s="7">
        <f t="shared" ca="1" si="45"/>
        <v>20.419602357697652</v>
      </c>
      <c r="X105" s="7">
        <f t="shared" ca="1" si="26"/>
        <v>0.29383530075149372</v>
      </c>
      <c r="Y105" s="7">
        <f t="shared" ca="1" si="27"/>
        <v>0.20704502741426575</v>
      </c>
      <c r="Z105" s="7">
        <f t="shared" ca="1" si="28"/>
        <v>28.979203581619512</v>
      </c>
      <c r="AA105" s="17">
        <f t="shared" si="46"/>
        <v>1.346938775510204</v>
      </c>
    </row>
    <row r="106" spans="1:27">
      <c r="A106" s="16"/>
      <c r="B106" s="51">
        <f t="shared" si="47"/>
        <v>1</v>
      </c>
      <c r="C106" s="117">
        <f t="shared" si="50"/>
        <v>7</v>
      </c>
      <c r="D106" s="34">
        <f t="shared" si="48"/>
        <v>12</v>
      </c>
      <c r="E106" s="34">
        <f t="shared" ca="1" si="37"/>
        <v>25</v>
      </c>
      <c r="F106" s="34">
        <f t="shared" ca="1" si="38"/>
        <v>7.5386946000000004</v>
      </c>
      <c r="G106" s="34">
        <f t="shared" ca="1" si="39"/>
        <v>5.5771000769578993</v>
      </c>
      <c r="H106" s="34">
        <f t="shared" ca="1" si="40"/>
        <v>23.571279022222217</v>
      </c>
      <c r="I106" s="34">
        <f t="shared" ca="1" si="41"/>
        <v>19.553385098677555</v>
      </c>
      <c r="J106" s="34">
        <f t="shared" ca="1" si="51"/>
        <v>22.467881895771395</v>
      </c>
      <c r="K106" s="34">
        <f t="shared" ca="1" si="42"/>
        <v>583.26042578011084</v>
      </c>
      <c r="L106" s="34">
        <f t="shared" ca="1" si="43"/>
        <v>558.44083319372317</v>
      </c>
      <c r="M106" s="34">
        <f t="shared" ca="1" si="52"/>
        <v>576.44445013201812</v>
      </c>
      <c r="N106" s="34">
        <f t="shared" ca="1" si="19"/>
        <v>22.467881895771395</v>
      </c>
      <c r="O106" s="34">
        <f t="shared" ca="1" si="20"/>
        <v>576.44445013201812</v>
      </c>
      <c r="P106" s="7">
        <f t="shared" ca="1" si="21"/>
        <v>6.9451138570122666</v>
      </c>
      <c r="Q106" s="7">
        <f t="shared" ca="1" si="22"/>
        <v>3.2350631477533329</v>
      </c>
      <c r="R106" s="7">
        <f t="shared" ca="1" si="23"/>
        <v>3.654063147753333</v>
      </c>
      <c r="S106" s="7">
        <f t="shared" ca="1" si="24"/>
        <v>7.8220890124730662</v>
      </c>
      <c r="T106" s="7">
        <f t="shared" ca="1" si="49"/>
        <v>28.582407198924091</v>
      </c>
      <c r="U106" s="7">
        <f t="shared" ca="1" si="25"/>
        <v>0.78607381594567505</v>
      </c>
      <c r="V106" s="7">
        <f t="shared" ca="1" si="44"/>
        <v>0.37219972856339967</v>
      </c>
      <c r="W106" s="7">
        <f t="shared" ca="1" si="45"/>
        <v>22.467881895771395</v>
      </c>
      <c r="X106" s="7">
        <f t="shared" ca="1" si="26"/>
        <v>0.31155584814238529</v>
      </c>
      <c r="Y106" s="7">
        <f t="shared" ca="1" si="27"/>
        <v>0.22041530498652845</v>
      </c>
      <c r="Z106" s="7">
        <f t="shared" ca="1" si="28"/>
        <v>31.758230221026768</v>
      </c>
      <c r="AA106" s="17">
        <f t="shared" si="46"/>
        <v>1.5714285714285714</v>
      </c>
    </row>
    <row r="107" spans="1:27">
      <c r="A107" s="16"/>
      <c r="B107" s="51">
        <f t="shared" si="47"/>
        <v>1</v>
      </c>
      <c r="C107" s="117">
        <f t="shared" si="50"/>
        <v>8</v>
      </c>
      <c r="D107" s="34">
        <f t="shared" si="48"/>
        <v>12</v>
      </c>
      <c r="E107" s="34">
        <f t="shared" ca="1" si="37"/>
        <v>24</v>
      </c>
      <c r="F107" s="34">
        <f t="shared" ca="1" si="38"/>
        <v>9.7626856857760966</v>
      </c>
      <c r="G107" s="34">
        <f t="shared" ca="1" si="39"/>
        <v>7.5386946000000004</v>
      </c>
      <c r="H107" s="34">
        <f t="shared" ca="1" si="40"/>
        <v>28.160945529324458</v>
      </c>
      <c r="I107" s="34">
        <f t="shared" ca="1" si="41"/>
        <v>23.571279022222217</v>
      </c>
      <c r="J107" s="34">
        <f t="shared" ca="1" si="51"/>
        <v>24.523278316403992</v>
      </c>
      <c r="K107" s="34">
        <f t="shared" ca="1" si="42"/>
        <v>610.38881767686019</v>
      </c>
      <c r="L107" s="34">
        <f t="shared" ca="1" si="43"/>
        <v>583.26042578011084</v>
      </c>
      <c r="M107" s="34">
        <f t="shared" ca="1" si="52"/>
        <v>588.88745987899961</v>
      </c>
      <c r="N107" s="34">
        <f t="shared" ca="1" si="19"/>
        <v>24.523278316403992</v>
      </c>
      <c r="O107" s="34">
        <f t="shared" ca="1" si="20"/>
        <v>588.88745987899961</v>
      </c>
      <c r="P107" s="7">
        <f t="shared" ca="1" si="21"/>
        <v>7.0950296370963812</v>
      </c>
      <c r="Q107" s="7">
        <f t="shared" ca="1" si="22"/>
        <v>3.456402519897023</v>
      </c>
      <c r="R107" s="7">
        <f t="shared" ca="1" si="23"/>
        <v>3.875402519897023</v>
      </c>
      <c r="S107" s="7">
        <f t="shared" ca="1" si="24"/>
        <v>8.025126241871666</v>
      </c>
      <c r="T107" s="7">
        <f t="shared" ca="1" si="49"/>
        <v>31.100594460241179</v>
      </c>
      <c r="U107" s="7">
        <f t="shared" ca="1" si="25"/>
        <v>0.78851477735431741</v>
      </c>
      <c r="V107" s="7">
        <f t="shared" ca="1" si="44"/>
        <v>0.39766521423389956</v>
      </c>
      <c r="W107" s="7">
        <f t="shared" ca="1" si="45"/>
        <v>24.523278316403992</v>
      </c>
      <c r="X107" s="7">
        <f t="shared" ca="1" si="26"/>
        <v>0.32622065846101328</v>
      </c>
      <c r="Y107" s="7">
        <f t="shared" ca="1" si="27"/>
        <v>0.23150682888728821</v>
      </c>
      <c r="Z107" s="7">
        <f t="shared" ca="1" si="28"/>
        <v>34.556216066934645</v>
      </c>
      <c r="AA107" s="17">
        <f t="shared" si="46"/>
        <v>1.7959183673469388</v>
      </c>
    </row>
    <row r="108" spans="1:27">
      <c r="A108" s="16"/>
      <c r="B108" s="51">
        <f t="shared" si="47"/>
        <v>1</v>
      </c>
      <c r="C108" s="117">
        <f t="shared" si="50"/>
        <v>9</v>
      </c>
      <c r="D108" s="34">
        <f t="shared" si="48"/>
        <v>12</v>
      </c>
      <c r="E108" s="34">
        <f t="shared" ca="1" si="37"/>
        <v>24</v>
      </c>
      <c r="F108" s="34">
        <f t="shared" ca="1" si="38"/>
        <v>9.7626856857760966</v>
      </c>
      <c r="G108" s="34">
        <f t="shared" ca="1" si="39"/>
        <v>7.5386946000000004</v>
      </c>
      <c r="H108" s="34">
        <f t="shared" ca="1" si="40"/>
        <v>28.160945529324458</v>
      </c>
      <c r="I108" s="34">
        <f t="shared" ca="1" si="41"/>
        <v>23.571279022222217</v>
      </c>
      <c r="J108" s="34">
        <f t="shared" ca="1" si="51"/>
        <v>26.586985557164176</v>
      </c>
      <c r="K108" s="34">
        <f t="shared" ca="1" si="42"/>
        <v>610.38881767686019</v>
      </c>
      <c r="L108" s="34">
        <f t="shared" ca="1" si="43"/>
        <v>583.26042578011084</v>
      </c>
      <c r="M108" s="34">
        <f t="shared" ca="1" si="52"/>
        <v>601.08552671040616</v>
      </c>
      <c r="N108" s="34">
        <f t="shared" ca="1" si="19"/>
        <v>26.586985557164176</v>
      </c>
      <c r="O108" s="34">
        <f t="shared" ca="1" si="20"/>
        <v>601.08552671040616</v>
      </c>
      <c r="P108" s="7">
        <f t="shared" ca="1" si="21"/>
        <v>7.2419942977157366</v>
      </c>
      <c r="Q108" s="7">
        <f t="shared" ca="1" si="22"/>
        <v>3.6712243153174287</v>
      </c>
      <c r="R108" s="7">
        <f t="shared" ca="1" si="23"/>
        <v>4.0902243153174282</v>
      </c>
      <c r="S108" s="7">
        <f t="shared" ca="1" si="24"/>
        <v>8.2236481333919187</v>
      </c>
      <c r="T108" s="7">
        <f t="shared" ca="1" si="49"/>
        <v>33.636565555814407</v>
      </c>
      <c r="U108" s="7">
        <f t="shared" ca="1" si="25"/>
        <v>0.7904191500481047</v>
      </c>
      <c r="V108" s="7">
        <f t="shared" ca="1" si="44"/>
        <v>0.42238084119175501</v>
      </c>
      <c r="W108" s="7">
        <f t="shared" ca="1" si="45"/>
        <v>26.586985557164176</v>
      </c>
      <c r="X108" s="7">
        <f t="shared" ca="1" si="26"/>
        <v>0.33851148640560508</v>
      </c>
      <c r="Y108" s="7">
        <f t="shared" ca="1" si="27"/>
        <v>0.24080936522961502</v>
      </c>
      <c r="Z108" s="7">
        <f t="shared" ca="1" si="28"/>
        <v>37.373961728682673</v>
      </c>
      <c r="AA108" s="17">
        <f t="shared" si="46"/>
        <v>2.0204081632653059</v>
      </c>
    </row>
    <row r="109" spans="1:27">
      <c r="A109" s="16"/>
      <c r="B109" s="51">
        <f t="shared" si="47"/>
        <v>1</v>
      </c>
      <c r="C109" s="117">
        <f t="shared" si="50"/>
        <v>10</v>
      </c>
      <c r="D109" s="34">
        <f t="shared" si="48"/>
        <v>12</v>
      </c>
      <c r="E109" s="34">
        <f t="shared" ca="1" si="37"/>
        <v>23</v>
      </c>
      <c r="F109" s="34">
        <f t="shared" ca="1" si="38"/>
        <v>11.781740755102041</v>
      </c>
      <c r="G109" s="34">
        <f t="shared" ca="1" si="39"/>
        <v>9.7626856857760966</v>
      </c>
      <c r="H109" s="34">
        <f t="shared" ca="1" si="40"/>
        <v>31.52208498542274</v>
      </c>
      <c r="I109" s="34">
        <f t="shared" ca="1" si="41"/>
        <v>28.160945529324458</v>
      </c>
      <c r="J109" s="34">
        <f t="shared" ca="1" si="51"/>
        <v>28.556004840560163</v>
      </c>
      <c r="K109" s="34">
        <f t="shared" ca="1" si="42"/>
        <v>624.92188476440447</v>
      </c>
      <c r="L109" s="34">
        <f t="shared" ca="1" si="43"/>
        <v>610.38881767686019</v>
      </c>
      <c r="M109" s="34">
        <f t="shared" ca="1" si="52"/>
        <v>612.09699537931476</v>
      </c>
      <c r="N109" s="34">
        <f t="shared" ca="1" si="19"/>
        <v>28.556004840560163</v>
      </c>
      <c r="O109" s="34">
        <f t="shared" ca="1" si="20"/>
        <v>612.09699537931476</v>
      </c>
      <c r="P109" s="7">
        <f t="shared" ca="1" si="21"/>
        <v>7.374662594931503</v>
      </c>
      <c r="Q109" s="7">
        <f t="shared" ca="1" si="22"/>
        <v>3.872177807861513</v>
      </c>
      <c r="R109" s="7">
        <f t="shared" ca="1" si="23"/>
        <v>4.291177807861513</v>
      </c>
      <c r="S109" s="7">
        <f t="shared" ca="1" si="24"/>
        <v>8.404545268818266</v>
      </c>
      <c r="T109" s="7">
        <f t="shared" ca="1" si="49"/>
        <v>36.065398142720419</v>
      </c>
      <c r="U109" s="7">
        <f t="shared" ca="1" si="25"/>
        <v>0.79178398994949173</v>
      </c>
      <c r="V109" s="7">
        <f t="shared" ca="1" si="44"/>
        <v>0.4455008954110114</v>
      </c>
      <c r="W109" s="7">
        <f t="shared" ca="1" si="45"/>
        <v>28.556004840560163</v>
      </c>
      <c r="X109" s="7">
        <f t="shared" ca="1" si="26"/>
        <v>0.35018904275419771</v>
      </c>
      <c r="Y109" s="7">
        <f t="shared" ca="1" si="27"/>
        <v>0.24954666975766063</v>
      </c>
      <c r="Z109" s="7">
        <f t="shared" ca="1" si="28"/>
        <v>40.072664603022687</v>
      </c>
      <c r="AA109" s="17">
        <f t="shared" si="46"/>
        <v>2.2448979591836737</v>
      </c>
    </row>
    <row r="110" spans="1:27">
      <c r="A110" s="16"/>
      <c r="B110" s="51">
        <f t="shared" si="47"/>
        <v>1</v>
      </c>
      <c r="C110" s="117">
        <f t="shared" si="50"/>
        <v>11</v>
      </c>
      <c r="D110" s="34">
        <f t="shared" si="48"/>
        <v>12</v>
      </c>
      <c r="E110" s="34">
        <f t="shared" ca="1" si="37"/>
        <v>23</v>
      </c>
      <c r="F110" s="34">
        <f t="shared" ca="1" si="38"/>
        <v>11.781740755102041</v>
      </c>
      <c r="G110" s="34">
        <f t="shared" ca="1" si="39"/>
        <v>9.7626856857760966</v>
      </c>
      <c r="H110" s="34">
        <f t="shared" ca="1" si="40"/>
        <v>31.52208498542274</v>
      </c>
      <c r="I110" s="34">
        <f t="shared" ca="1" si="41"/>
        <v>28.160945529324458</v>
      </c>
      <c r="J110" s="34">
        <f t="shared" ca="1" si="51"/>
        <v>30.22071399444193</v>
      </c>
      <c r="K110" s="34">
        <f t="shared" ca="1" si="42"/>
        <v>624.92188476440447</v>
      </c>
      <c r="L110" s="34">
        <f t="shared" ca="1" si="43"/>
        <v>610.38881767686019</v>
      </c>
      <c r="M110" s="34">
        <f t="shared" ca="1" si="52"/>
        <v>619.294950159417</v>
      </c>
      <c r="N110" s="34">
        <f t="shared" ca="1" si="19"/>
        <v>30.22071399444193</v>
      </c>
      <c r="O110" s="34">
        <f t="shared" ca="1" si="20"/>
        <v>619.294950159417</v>
      </c>
      <c r="P110" s="7">
        <f t="shared" ca="1" si="21"/>
        <v>7.4613849416797224</v>
      </c>
      <c r="Q110" s="7">
        <f t="shared" ca="1" si="22"/>
        <v>4.0502821166117959</v>
      </c>
      <c r="R110" s="7">
        <f t="shared" ca="1" si="23"/>
        <v>4.4692821166117955</v>
      </c>
      <c r="S110" s="7">
        <f t="shared" ca="1" si="24"/>
        <v>8.534012649666554</v>
      </c>
      <c r="T110" s="7">
        <f t="shared" ca="1" si="49"/>
        <v>38.140910118093572</v>
      </c>
      <c r="U110" s="7">
        <f t="shared" ca="1" si="25"/>
        <v>0.79234380880978506</v>
      </c>
      <c r="V110" s="7">
        <f t="shared" ca="1" si="44"/>
        <v>0.46599211068106394</v>
      </c>
      <c r="W110" s="7">
        <f t="shared" ca="1" si="45"/>
        <v>30.22071399444193</v>
      </c>
      <c r="X110" s="7">
        <f t="shared" ca="1" si="26"/>
        <v>0.36398875294683886</v>
      </c>
      <c r="Y110" s="7">
        <f t="shared" ca="1" si="27"/>
        <v>0.25956381138643997</v>
      </c>
      <c r="Z110" s="7">
        <f t="shared" ca="1" si="28"/>
        <v>42.378789020103966</v>
      </c>
      <c r="AA110" s="17">
        <f t="shared" si="46"/>
        <v>2.4693877551020407</v>
      </c>
    </row>
    <row r="111" spans="1:27">
      <c r="A111" s="16"/>
      <c r="B111" s="51">
        <f t="shared" si="47"/>
        <v>1</v>
      </c>
      <c r="C111" s="117">
        <f t="shared" si="50"/>
        <v>12</v>
      </c>
      <c r="D111" s="34">
        <f t="shared" si="48"/>
        <v>12</v>
      </c>
      <c r="E111" s="34">
        <f t="shared" ca="1" si="37"/>
        <v>22</v>
      </c>
      <c r="F111" s="34">
        <f t="shared" ca="1" si="38"/>
        <v>14.562823696874995</v>
      </c>
      <c r="G111" s="34">
        <f t="shared" ca="1" si="39"/>
        <v>11.781740755102041</v>
      </c>
      <c r="H111" s="34">
        <f t="shared" ca="1" si="40"/>
        <v>37.495086299999983</v>
      </c>
      <c r="I111" s="34">
        <f t="shared" ca="1" si="41"/>
        <v>31.52208498542274</v>
      </c>
      <c r="J111" s="34">
        <f t="shared" ca="1" si="51"/>
        <v>31.99084581851859</v>
      </c>
      <c r="K111" s="34">
        <f t="shared" ca="1" si="42"/>
        <v>656.16797900262463</v>
      </c>
      <c r="L111" s="34">
        <f t="shared" ca="1" si="43"/>
        <v>624.92188476440447</v>
      </c>
      <c r="M111" s="34">
        <f t="shared" ca="1" si="52"/>
        <v>627.37407661816371</v>
      </c>
      <c r="N111" s="34">
        <f t="shared" ca="1" si="19"/>
        <v>31.99084581851859</v>
      </c>
      <c r="O111" s="34">
        <f t="shared" ca="1" si="20"/>
        <v>627.37407661816371</v>
      </c>
      <c r="P111" s="7">
        <f t="shared" ca="1" si="21"/>
        <v>7.5587238146766715</v>
      </c>
      <c r="Q111" s="7">
        <f t="shared" ca="1" si="22"/>
        <v>4.2323078078871461</v>
      </c>
      <c r="R111" s="7">
        <f t="shared" ca="1" si="23"/>
        <v>4.6513078078871457</v>
      </c>
      <c r="S111" s="7">
        <f t="shared" ca="1" si="24"/>
        <v>8.6750376885695868</v>
      </c>
      <c r="T111" s="7">
        <f t="shared" ca="1" si="49"/>
        <v>40.350270534558973</v>
      </c>
      <c r="U111" s="7">
        <f t="shared" ca="1" si="25"/>
        <v>0.7928285336059705</v>
      </c>
      <c r="V111" s="7">
        <f t="shared" ca="1" si="44"/>
        <v>0.48693448793614202</v>
      </c>
      <c r="W111" s="7">
        <f t="shared" ca="1" si="45"/>
        <v>31.99084581851859</v>
      </c>
      <c r="X111" s="7">
        <f t="shared" ca="1" si="26"/>
        <v>0.37510730626114119</v>
      </c>
      <c r="Y111" s="7">
        <f t="shared" ca="1" si="27"/>
        <v>0.26765619801111562</v>
      </c>
      <c r="Z111" s="7">
        <f t="shared" ca="1" si="28"/>
        <v>44.83363392728775</v>
      </c>
      <c r="AA111" s="17">
        <f t="shared" si="46"/>
        <v>2.693877551020408</v>
      </c>
    </row>
    <row r="112" spans="1:27">
      <c r="A112" s="16"/>
      <c r="B112" s="51">
        <f t="shared" si="47"/>
        <v>1</v>
      </c>
      <c r="C112" s="117">
        <f t="shared" si="50"/>
        <v>13</v>
      </c>
      <c r="D112" s="34">
        <f t="shared" si="48"/>
        <v>12</v>
      </c>
      <c r="E112" s="34">
        <f t="shared" ca="1" si="37"/>
        <v>22</v>
      </c>
      <c r="F112" s="34">
        <f t="shared" ca="1" si="38"/>
        <v>14.562823696874995</v>
      </c>
      <c r="G112" s="34">
        <f t="shared" ca="1" si="39"/>
        <v>11.781740755102041</v>
      </c>
      <c r="H112" s="34">
        <f t="shared" ca="1" si="40"/>
        <v>37.495086299999983</v>
      </c>
      <c r="I112" s="34">
        <f t="shared" ca="1" si="41"/>
        <v>31.52208498542274</v>
      </c>
      <c r="J112" s="34">
        <f t="shared" ca="1" si="51"/>
        <v>34.138570801783359</v>
      </c>
      <c r="K112" s="34">
        <f t="shared" ca="1" si="42"/>
        <v>656.16797900262463</v>
      </c>
      <c r="L112" s="34">
        <f t="shared" ca="1" si="43"/>
        <v>624.92188476440447</v>
      </c>
      <c r="M112" s="34">
        <f t="shared" ca="1" si="52"/>
        <v>638.60930220920659</v>
      </c>
      <c r="N112" s="34">
        <f t="shared" ca="1" si="19"/>
        <v>34.138570801783359</v>
      </c>
      <c r="O112" s="34">
        <f t="shared" ca="1" si="20"/>
        <v>638.60930220920659</v>
      </c>
      <c r="P112" s="7">
        <f t="shared" ca="1" si="21"/>
        <v>7.694087978424176</v>
      </c>
      <c r="Q112" s="7">
        <f t="shared" ca="1" si="22"/>
        <v>4.4369873203315349</v>
      </c>
      <c r="R112" s="7">
        <f t="shared" ca="1" si="23"/>
        <v>4.8559873203315345</v>
      </c>
      <c r="S112" s="7">
        <f t="shared" ca="1" si="24"/>
        <v>8.8595249353037442</v>
      </c>
      <c r="T112" s="7">
        <f t="shared" ca="1" si="49"/>
        <v>43.021740749996042</v>
      </c>
      <c r="U112" s="7">
        <f t="shared" ca="1" si="25"/>
        <v>0.79351904889591196</v>
      </c>
      <c r="V112" s="7">
        <f t="shared" ca="1" si="44"/>
        <v>0.51048322732541684</v>
      </c>
      <c r="W112" s="7">
        <f t="shared" ca="1" si="45"/>
        <v>34.138570801783359</v>
      </c>
      <c r="X112" s="7">
        <f t="shared" ca="1" si="26"/>
        <v>0.38080094434770229</v>
      </c>
      <c r="Y112" s="7">
        <f t="shared" ca="1" si="27"/>
        <v>0.27195552285970842</v>
      </c>
      <c r="Z112" s="7">
        <f t="shared" ca="1" si="28"/>
        <v>47.801934166662271</v>
      </c>
      <c r="AA112" s="17">
        <f t="shared" si="46"/>
        <v>2.9183673469387754</v>
      </c>
    </row>
    <row r="113" spans="1:27">
      <c r="A113" s="16"/>
      <c r="B113" s="51">
        <f t="shared" si="47"/>
        <v>1</v>
      </c>
      <c r="C113" s="117">
        <f t="shared" si="50"/>
        <v>14</v>
      </c>
      <c r="D113" s="34">
        <f t="shared" si="48"/>
        <v>12</v>
      </c>
      <c r="E113" s="34">
        <f t="shared" ca="1" si="37"/>
        <v>22</v>
      </c>
      <c r="F113" s="34">
        <f t="shared" ca="1" si="38"/>
        <v>14.562823696874995</v>
      </c>
      <c r="G113" s="34">
        <f t="shared" ca="1" si="39"/>
        <v>11.781740755102041</v>
      </c>
      <c r="H113" s="34">
        <f t="shared" ca="1" si="40"/>
        <v>37.495086299999983</v>
      </c>
      <c r="I113" s="34">
        <f t="shared" ca="1" si="41"/>
        <v>31.52208498542274</v>
      </c>
      <c r="J113" s="34">
        <f t="shared" ca="1" si="51"/>
        <v>36.286295785048118</v>
      </c>
      <c r="K113" s="34">
        <f t="shared" ca="1" si="42"/>
        <v>656.16797900262463</v>
      </c>
      <c r="L113" s="34">
        <f t="shared" ca="1" si="43"/>
        <v>624.92188476440447</v>
      </c>
      <c r="M113" s="34">
        <f t="shared" ca="1" si="52"/>
        <v>649.84452780024935</v>
      </c>
      <c r="N113" s="34">
        <f t="shared" ca="1" si="19"/>
        <v>36.286295785048118</v>
      </c>
      <c r="O113" s="34">
        <f t="shared" ca="1" si="20"/>
        <v>649.84452780024935</v>
      </c>
      <c r="P113" s="7">
        <f t="shared" ca="1" si="21"/>
        <v>7.8294521421716787</v>
      </c>
      <c r="Q113" s="7">
        <f t="shared" ca="1" si="22"/>
        <v>4.6345893845623891</v>
      </c>
      <c r="R113" s="7">
        <f t="shared" ca="1" si="23"/>
        <v>5.0535893845623887</v>
      </c>
      <c r="S113" s="7">
        <f t="shared" ca="1" si="24"/>
        <v>9.0423135944666519</v>
      </c>
      <c r="T113" s="7">
        <f t="shared" ca="1" si="49"/>
        <v>45.696139992880852</v>
      </c>
      <c r="U113" s="7">
        <f t="shared" ca="1" si="25"/>
        <v>0.79407791972585162</v>
      </c>
      <c r="V113" s="7">
        <f t="shared" ca="1" si="44"/>
        <v>0.5332176937983103</v>
      </c>
      <c r="W113" s="7">
        <f t="shared" ca="1" si="45"/>
        <v>36.286295785048118</v>
      </c>
      <c r="X113" s="7">
        <f t="shared" ca="1" si="26"/>
        <v>0.38582058865784652</v>
      </c>
      <c r="Y113" s="7">
        <f t="shared" ca="1" si="27"/>
        <v>0.27573444938594366</v>
      </c>
      <c r="Z113" s="7">
        <f t="shared" ca="1" si="28"/>
        <v>50.773488880978725</v>
      </c>
      <c r="AA113" s="17">
        <f t="shared" si="46"/>
        <v>3.1428571428571428</v>
      </c>
    </row>
    <row r="114" spans="1:27">
      <c r="A114" s="16"/>
      <c r="B114" s="51">
        <f t="shared" si="47"/>
        <v>1</v>
      </c>
      <c r="C114" s="117">
        <f t="shared" si="50"/>
        <v>15</v>
      </c>
      <c r="D114" s="34">
        <f t="shared" si="48"/>
        <v>12</v>
      </c>
      <c r="E114" s="34">
        <f t="shared" ca="1" si="37"/>
        <v>21</v>
      </c>
      <c r="F114" s="34">
        <f t="shared" ca="1" si="38"/>
        <v>17.656965847645427</v>
      </c>
      <c r="G114" s="34">
        <f t="shared" ca="1" si="39"/>
        <v>14.562823696874995</v>
      </c>
      <c r="H114" s="34">
        <f t="shared" ca="1" si="40"/>
        <v>44.513359279778378</v>
      </c>
      <c r="I114" s="34">
        <f t="shared" ca="1" si="41"/>
        <v>37.495086299999983</v>
      </c>
      <c r="J114" s="34">
        <f t="shared" ca="1" si="51"/>
        <v>38.486709336730101</v>
      </c>
      <c r="K114" s="34">
        <f t="shared" ca="1" si="42"/>
        <v>690.70313579223648</v>
      </c>
      <c r="L114" s="34">
        <f t="shared" ca="1" si="43"/>
        <v>656.16797900262463</v>
      </c>
      <c r="M114" s="34">
        <f t="shared" ca="1" si="52"/>
        <v>661.04750665114125</v>
      </c>
      <c r="N114" s="34">
        <f t="shared" ca="1" si="19"/>
        <v>38.486709336730101</v>
      </c>
      <c r="O114" s="34">
        <f t="shared" ca="1" si="20"/>
        <v>661.04750665114125</v>
      </c>
      <c r="P114" s="7">
        <f t="shared" ca="1" si="21"/>
        <v>7.9644277909776058</v>
      </c>
      <c r="Q114" s="7">
        <f t="shared" ca="1" si="22"/>
        <v>4.8323257297064393</v>
      </c>
      <c r="R114" s="7">
        <f t="shared" ca="1" si="23"/>
        <v>5.2513257297064388</v>
      </c>
      <c r="S114" s="7">
        <f t="shared" ca="1" si="24"/>
        <v>9.2247459661071503</v>
      </c>
      <c r="T114" s="7">
        <f t="shared" ca="1" si="49"/>
        <v>48.442145841824157</v>
      </c>
      <c r="U114" s="7">
        <f t="shared" ca="1" si="25"/>
        <v>0.79448811913491468</v>
      </c>
      <c r="V114" s="7">
        <f t="shared" ca="1" si="44"/>
        <v>0.5559676095274193</v>
      </c>
      <c r="W114" s="7">
        <f t="shared" ca="1" si="45"/>
        <v>38.486709336730101</v>
      </c>
      <c r="X114" s="7">
        <f t="shared" ca="1" si="26"/>
        <v>0.38974493425148793</v>
      </c>
      <c r="Y114" s="7">
        <f t="shared" ca="1" si="27"/>
        <v>0.27868294778024305</v>
      </c>
      <c r="Z114" s="7">
        <f t="shared" ca="1" si="28"/>
        <v>53.824606490915727</v>
      </c>
      <c r="AA114" s="17">
        <f t="shared" si="46"/>
        <v>3.3673469387755102</v>
      </c>
    </row>
    <row r="115" spans="1:27" ht="15.75" thickBot="1">
      <c r="A115" s="18"/>
      <c r="B115" s="52">
        <f t="shared" si="47"/>
        <v>1</v>
      </c>
      <c r="C115" s="118">
        <f t="shared" si="50"/>
        <v>16</v>
      </c>
      <c r="D115" s="40">
        <f t="shared" si="48"/>
        <v>12</v>
      </c>
      <c r="E115" s="40">
        <f t="shared" ca="1" si="37"/>
        <v>21</v>
      </c>
      <c r="F115" s="40">
        <f t="shared" ca="1" si="38"/>
        <v>17.656965847645427</v>
      </c>
      <c r="G115" s="40">
        <f t="shared" ca="1" si="39"/>
        <v>14.562823696874995</v>
      </c>
      <c r="H115" s="40">
        <f t="shared" ca="1" si="40"/>
        <v>44.513359279778378</v>
      </c>
      <c r="I115" s="40">
        <f t="shared" ca="1" si="41"/>
        <v>37.495086299999983</v>
      </c>
      <c r="J115" s="40">
        <f t="shared" ca="1" si="51"/>
        <v>40.754954503821359</v>
      </c>
      <c r="K115" s="40">
        <f t="shared" ca="1" si="42"/>
        <v>690.70313579223648</v>
      </c>
      <c r="L115" s="40">
        <f t="shared" ca="1" si="43"/>
        <v>656.16797900262463</v>
      </c>
      <c r="M115" s="40">
        <f t="shared" ca="1" si="52"/>
        <v>672.20897083306727</v>
      </c>
      <c r="N115" s="40">
        <f t="shared" ca="1" si="19"/>
        <v>40.754954503821359</v>
      </c>
      <c r="O115" s="40">
        <f t="shared" ca="1" si="20"/>
        <v>672.20897083306727</v>
      </c>
      <c r="P115" s="19">
        <f t="shared" ca="1" si="21"/>
        <v>8.098903263049003</v>
      </c>
      <c r="Q115" s="19">
        <f t="shared" ca="1" si="22"/>
        <v>5.0321572168622613</v>
      </c>
      <c r="R115" s="19">
        <f t="shared" ca="1" si="23"/>
        <v>5.4511572168622608</v>
      </c>
      <c r="S115" s="19">
        <f t="shared" ca="1" si="24"/>
        <v>9.4071809950959455</v>
      </c>
      <c r="T115" s="19">
        <f t="shared" ca="1" si="49"/>
        <v>51.28002257174677</v>
      </c>
      <c r="U115" s="19">
        <f t="shared" ca="1" si="25"/>
        <v>0.79475305313683109</v>
      </c>
      <c r="V115" s="19">
        <f t="shared" ca="1" si="44"/>
        <v>0.57895857504519299</v>
      </c>
      <c r="W115" s="19">
        <f t="shared" ca="1" si="45"/>
        <v>40.754954503821359</v>
      </c>
      <c r="X115" s="19">
        <f t="shared" ca="1" si="26"/>
        <v>0.39259030453585148</v>
      </c>
      <c r="Y115" s="19">
        <f t="shared" ca="1" si="27"/>
        <v>0.28081110884560767</v>
      </c>
      <c r="Z115" s="19">
        <f t="shared" ca="1" si="28"/>
        <v>56.977802857496407</v>
      </c>
      <c r="AA115" s="20">
        <f t="shared" si="46"/>
        <v>3.5918367346938775</v>
      </c>
    </row>
    <row r="116" spans="1:27" s="11" customFormat="1">
      <c r="A116" s="100" t="str">
        <f>_xlfn.CONCAT("v = ", TEXT(B116,"0.0"), " m/s")</f>
        <v>v = 1.5 m/s</v>
      </c>
      <c r="B116" s="53">
        <f>$B$9</f>
        <v>1.5</v>
      </c>
      <c r="C116" s="41">
        <f>C100</f>
        <v>1</v>
      </c>
      <c r="D116" s="41">
        <f>COLUMN($O$34)</f>
        <v>15</v>
      </c>
      <c r="E116" s="41">
        <f t="shared" ca="1" si="37"/>
        <v>29</v>
      </c>
      <c r="F116" s="41">
        <f t="shared" ca="1" si="38"/>
        <v>2.5313902793698824</v>
      </c>
      <c r="G116" s="41">
        <f t="shared" ca="1" si="39"/>
        <v>3.9841295950413219E-2</v>
      </c>
      <c r="H116" s="41">
        <f t="shared" ca="1" si="40"/>
        <v>37.642995839686442</v>
      </c>
      <c r="I116" s="41">
        <f t="shared" ca="1" si="41"/>
        <v>31.293527001051828</v>
      </c>
      <c r="J116" s="41">
        <f ca="1">H116+ (H116-I116)/(F116-G116)*(C116-F116)</f>
        <v>33.740397527008597</v>
      </c>
      <c r="K116" s="41">
        <f t="shared" ca="1" si="42"/>
        <v>742.83167434259394</v>
      </c>
      <c r="L116" s="41">
        <f t="shared" ca="1" si="43"/>
        <v>715.81961345740865</v>
      </c>
      <c r="M116" s="41">
        <f ca="1">K116+ (K116-L116)/(F116-G116)*(C116-F116)</f>
        <v>726.2291480665308</v>
      </c>
      <c r="N116" s="41">
        <f t="shared" ca="1" si="19"/>
        <v>33.740397527008597</v>
      </c>
      <c r="O116" s="41">
        <f t="shared" ca="1" si="20"/>
        <v>726.2291480665308</v>
      </c>
      <c r="P116" s="42">
        <f t="shared" ca="1" si="21"/>
        <v>8.7497487718859137</v>
      </c>
      <c r="Q116" s="42">
        <f t="shared" ca="1" si="22"/>
        <v>3.8561561487823401</v>
      </c>
      <c r="R116" s="42">
        <f t="shared" ca="1" si="23"/>
        <v>4.2751561487823402</v>
      </c>
      <c r="S116" s="42">
        <f t="shared" ca="1" si="24"/>
        <v>9.7757862475936754</v>
      </c>
      <c r="T116" s="42">
        <f ca="1">R116*S116</f>
        <v>41.793012685581942</v>
      </c>
      <c r="U116" s="42">
        <f t="shared" ca="1" si="25"/>
        <v>0.80732149607986037</v>
      </c>
      <c r="V116" s="42">
        <f t="shared" ca="1" si="44"/>
        <v>0.44365757523825239</v>
      </c>
      <c r="W116" s="42">
        <f t="shared" ca="1" si="45"/>
        <v>33.740397527008597</v>
      </c>
      <c r="X116" s="42">
        <f t="shared" ca="1" si="26"/>
        <v>4.445709327518374E-2</v>
      </c>
      <c r="Y116" s="42">
        <f t="shared" ca="1" si="27"/>
        <v>3.2302050348854916E-2</v>
      </c>
      <c r="Z116" s="42">
        <f t="shared" ca="1" si="28"/>
        <v>46.436680761757714</v>
      </c>
      <c r="AA116" s="43">
        <f t="shared" si="46"/>
        <v>0.22448979591836735</v>
      </c>
    </row>
    <row r="117" spans="1:27" s="11" customFormat="1">
      <c r="A117" s="44"/>
      <c r="B117" s="54">
        <f t="shared" ref="B117:B131" si="53">$B$9</f>
        <v>1.5</v>
      </c>
      <c r="C117" s="36">
        <f>C101</f>
        <v>2</v>
      </c>
      <c r="D117" s="36">
        <f t="shared" ref="D117:D131" si="54">COLUMN($O$34)</f>
        <v>15</v>
      </c>
      <c r="E117" s="36">
        <f t="shared" ca="1" si="37"/>
        <v>29</v>
      </c>
      <c r="F117" s="36">
        <f t="shared" ca="1" si="38"/>
        <v>2.5313902793698824</v>
      </c>
      <c r="G117" s="36">
        <f t="shared" ca="1" si="39"/>
        <v>3.9841295950413219E-2</v>
      </c>
      <c r="H117" s="36">
        <f t="shared" ca="1" si="40"/>
        <v>37.642995839686442</v>
      </c>
      <c r="I117" s="36">
        <f t="shared" ca="1" si="41"/>
        <v>31.293527001051828</v>
      </c>
      <c r="J117" s="36">
        <f ca="1">H117+ (H117-I117)/(F117-G117)*(C117-F117)</f>
        <v>36.288799698063016</v>
      </c>
      <c r="K117" s="36">
        <f t="shared" ca="1" si="42"/>
        <v>742.83167434259394</v>
      </c>
      <c r="L117" s="36">
        <f t="shared" ca="1" si="43"/>
        <v>715.81961345740865</v>
      </c>
      <c r="M117" s="36">
        <f ca="1">K117+ (K117-L117)/(F117-G117)*(C117-F117)</f>
        <v>737.07062100763801</v>
      </c>
      <c r="N117" s="36">
        <f t="shared" ca="1" si="19"/>
        <v>36.288799698063016</v>
      </c>
      <c r="O117" s="36">
        <f t="shared" ca="1" si="20"/>
        <v>737.07062100763801</v>
      </c>
      <c r="P117" s="35">
        <f t="shared" ca="1" si="21"/>
        <v>8.8803689278028681</v>
      </c>
      <c r="Q117" s="35">
        <f t="shared" ca="1" si="22"/>
        <v>4.0864067690306412</v>
      </c>
      <c r="R117" s="35">
        <f t="shared" ca="1" si="23"/>
        <v>4.5054067690306407</v>
      </c>
      <c r="S117" s="35">
        <f t="shared" ca="1" si="24"/>
        <v>9.9616665523702217</v>
      </c>
      <c r="T117" s="35">
        <f t="shared" ref="T117:T131" ca="1" si="55">R117*S117</f>
        <v>44.881359915874924</v>
      </c>
      <c r="U117" s="35">
        <f t="shared" ca="1" si="25"/>
        <v>0.80854946833345298</v>
      </c>
      <c r="V117" s="35">
        <f t="shared" ca="1" si="44"/>
        <v>0.47014831574125854</v>
      </c>
      <c r="W117" s="35">
        <f t="shared" ca="1" si="45"/>
        <v>36.288799698063016</v>
      </c>
      <c r="X117" s="35">
        <f t="shared" ca="1" si="26"/>
        <v>8.2670135825962041E-2</v>
      </c>
      <c r="Y117" s="35">
        <f t="shared" ca="1" si="27"/>
        <v>6.0158604932222366E-2</v>
      </c>
      <c r="Z117" s="35">
        <f t="shared" ca="1" si="28"/>
        <v>49.868177684305472</v>
      </c>
      <c r="AA117" s="45">
        <f t="shared" si="46"/>
        <v>0.44897959183673469</v>
      </c>
    </row>
    <row r="118" spans="1:27" s="11" customFormat="1">
      <c r="A118" s="44"/>
      <c r="B118" s="54">
        <f t="shared" si="53"/>
        <v>1.5</v>
      </c>
      <c r="C118" s="36">
        <f t="shared" ref="C118:C131" si="56">C102</f>
        <v>3</v>
      </c>
      <c r="D118" s="36">
        <f t="shared" si="54"/>
        <v>15</v>
      </c>
      <c r="E118" s="36">
        <f t="shared" ca="1" si="37"/>
        <v>28</v>
      </c>
      <c r="F118" s="36">
        <f t="shared" ca="1" si="38"/>
        <v>5.0506233399653979</v>
      </c>
      <c r="G118" s="36">
        <f t="shared" ca="1" si="39"/>
        <v>2.5313902793698824</v>
      </c>
      <c r="H118" s="36">
        <f t="shared" ca="1" si="40"/>
        <v>44.700605923061268</v>
      </c>
      <c r="I118" s="36">
        <f t="shared" ca="1" si="41"/>
        <v>37.642995839686442</v>
      </c>
      <c r="J118" s="36">
        <f ca="1">H118+ (H118-I118)/(F118-G118)*(C118-F118)</f>
        <v>38.955802003283225</v>
      </c>
      <c r="K118" s="36">
        <f t="shared" ca="1" si="42"/>
        <v>771.96232823838204</v>
      </c>
      <c r="L118" s="36">
        <f t="shared" ca="1" si="43"/>
        <v>742.83167434259394</v>
      </c>
      <c r="M118" s="36">
        <f ca="1">K118+ (K118-L118)/(F118-G118)*(C118-F118)</f>
        <v>748.25035028703041</v>
      </c>
      <c r="N118" s="36">
        <f t="shared" ca="1" si="19"/>
        <v>38.955802003283225</v>
      </c>
      <c r="O118" s="36">
        <f t="shared" ca="1" si="20"/>
        <v>748.25035028703041</v>
      </c>
      <c r="P118" s="35">
        <f t="shared" ca="1" si="21"/>
        <v>9.0150644612895228</v>
      </c>
      <c r="Q118" s="35">
        <f t="shared" ca="1" si="22"/>
        <v>4.3211895123499708</v>
      </c>
      <c r="R118" s="35">
        <f t="shared" ca="1" si="23"/>
        <v>4.7401895123499704</v>
      </c>
      <c r="S118" s="35">
        <f t="shared" ca="1" si="24"/>
        <v>10.152709944253516</v>
      </c>
      <c r="T118" s="35">
        <f t="shared" ca="1" si="55"/>
        <v>48.12576919968177</v>
      </c>
      <c r="U118" s="35">
        <f t="shared" ca="1" si="25"/>
        <v>0.80945827258675418</v>
      </c>
      <c r="V118" s="35">
        <f t="shared" ca="1" si="44"/>
        <v>0.49716048500772625</v>
      </c>
      <c r="W118" s="35">
        <f t="shared" ca="1" si="45"/>
        <v>38.955802003283225</v>
      </c>
      <c r="X118" s="35">
        <f t="shared" ca="1" si="26"/>
        <v>0.11551552704833895</v>
      </c>
      <c r="Y118" s="35">
        <f t="shared" ca="1" si="27"/>
        <v>8.4154499083347239E-2</v>
      </c>
      <c r="Z118" s="35">
        <f t="shared" ca="1" si="28"/>
        <v>53.473076888535296</v>
      </c>
      <c r="AA118" s="45">
        <f t="shared" si="46"/>
        <v>0.67346938775510201</v>
      </c>
    </row>
    <row r="119" spans="1:27" s="11" customFormat="1">
      <c r="A119" s="44"/>
      <c r="B119" s="54">
        <f t="shared" si="53"/>
        <v>1.5</v>
      </c>
      <c r="C119" s="36">
        <f t="shared" si="56"/>
        <v>4</v>
      </c>
      <c r="D119" s="36">
        <f t="shared" si="54"/>
        <v>15</v>
      </c>
      <c r="E119" s="36">
        <f t="shared" ca="1" si="37"/>
        <v>28</v>
      </c>
      <c r="F119" s="36">
        <f t="shared" ca="1" si="38"/>
        <v>5.0506233399653979</v>
      </c>
      <c r="G119" s="36">
        <f t="shared" ca="1" si="39"/>
        <v>2.5313902793698824</v>
      </c>
      <c r="H119" s="36">
        <f t="shared" ca="1" si="40"/>
        <v>44.700605923061268</v>
      </c>
      <c r="I119" s="36">
        <f t="shared" ca="1" si="41"/>
        <v>37.642995839686442</v>
      </c>
      <c r="J119" s="36">
        <f ca="1">H119+ (H119-I119)/(F119-G119)*(C119-F119)</f>
        <v>41.757293534085257</v>
      </c>
      <c r="K119" s="36">
        <f t="shared" ca="1" si="42"/>
        <v>771.96232823838204</v>
      </c>
      <c r="L119" s="36">
        <f t="shared" ca="1" si="43"/>
        <v>742.83167434259394</v>
      </c>
      <c r="M119" s="36">
        <f ca="1">K119+ (K119-L119)/(F119-G119)*(C119-F119)</f>
        <v>759.81365276643737</v>
      </c>
      <c r="N119" s="36">
        <f t="shared" ca="1" si="19"/>
        <v>41.757293534085257</v>
      </c>
      <c r="O119" s="36">
        <f t="shared" ca="1" si="20"/>
        <v>759.81365276643737</v>
      </c>
      <c r="P119" s="35">
        <f t="shared" ca="1" si="21"/>
        <v>9.1543813586317757</v>
      </c>
      <c r="Q119" s="35">
        <f t="shared" ca="1" si="22"/>
        <v>4.5614544444023846</v>
      </c>
      <c r="R119" s="35">
        <f t="shared" ca="1" si="23"/>
        <v>4.9804544444023842</v>
      </c>
      <c r="S119" s="35">
        <f t="shared" ca="1" si="24"/>
        <v>10.349690425288347</v>
      </c>
      <c r="T119" s="35">
        <f t="shared" ca="1" si="55"/>
        <v>51.546161676816155</v>
      </c>
      <c r="U119" s="35">
        <f t="shared" ca="1" si="25"/>
        <v>0.81009511039628734</v>
      </c>
      <c r="V119" s="35">
        <f t="shared" ca="1" si="44"/>
        <v>0.52480338976997687</v>
      </c>
      <c r="W119" s="35">
        <f t="shared" ca="1" si="45"/>
        <v>41.757293534085257</v>
      </c>
      <c r="X119" s="35">
        <f t="shared" ca="1" si="26"/>
        <v>0.14368747330576814</v>
      </c>
      <c r="Y119" s="35">
        <f t="shared" ca="1" si="27"/>
        <v>0.10476046759517986</v>
      </c>
      <c r="Z119" s="35">
        <f t="shared" ca="1" si="28"/>
        <v>57.27351297424017</v>
      </c>
      <c r="AA119" s="45">
        <f t="shared" si="46"/>
        <v>0.89795918367346939</v>
      </c>
    </row>
    <row r="120" spans="1:27" s="11" customFormat="1">
      <c r="A120" s="44"/>
      <c r="B120" s="54">
        <f t="shared" si="53"/>
        <v>1.5</v>
      </c>
      <c r="C120" s="36">
        <f t="shared" si="56"/>
        <v>5</v>
      </c>
      <c r="D120" s="36">
        <f t="shared" si="54"/>
        <v>15</v>
      </c>
      <c r="E120" s="36">
        <f t="shared" ca="1" si="37"/>
        <v>28</v>
      </c>
      <c r="F120" s="36">
        <f t="shared" ca="1" si="38"/>
        <v>5.0506233399653979</v>
      </c>
      <c r="G120" s="36">
        <f t="shared" ca="1" si="39"/>
        <v>2.5313902793698824</v>
      </c>
      <c r="H120" s="36">
        <f t="shared" ca="1" si="40"/>
        <v>44.700605923061268</v>
      </c>
      <c r="I120" s="36">
        <f t="shared" ca="1" si="41"/>
        <v>37.642995839686442</v>
      </c>
      <c r="J120" s="36">
        <f t="shared" ref="J120:J131" ca="1" si="57">H120+ (H120-I120)/(F120-G120)*(C120-F120)</f>
        <v>44.558785064887296</v>
      </c>
      <c r="K120" s="36">
        <f t="shared" ca="1" si="42"/>
        <v>771.96232823838204</v>
      </c>
      <c r="L120" s="36">
        <f t="shared" ca="1" si="43"/>
        <v>742.83167434259394</v>
      </c>
      <c r="M120" s="36">
        <f t="shared" ref="M120:M131" ca="1" si="58">K120+ (K120-L120)/(F120-G120)*(C120-F120)</f>
        <v>771.37695524584433</v>
      </c>
      <c r="N120" s="36">
        <f t="shared" ca="1" si="19"/>
        <v>44.558785064887296</v>
      </c>
      <c r="O120" s="36">
        <f t="shared" ca="1" si="20"/>
        <v>771.37695524584433</v>
      </c>
      <c r="P120" s="35">
        <f t="shared" ca="1" si="21"/>
        <v>9.2936982559740287</v>
      </c>
      <c r="Q120" s="35">
        <f t="shared" ca="1" si="22"/>
        <v>4.7945160083333587</v>
      </c>
      <c r="R120" s="35">
        <f t="shared" ca="1" si="23"/>
        <v>5.2135160083333583</v>
      </c>
      <c r="S120" s="35">
        <f t="shared" ca="1" si="24"/>
        <v>10.544942097974035</v>
      </c>
      <c r="T120" s="35">
        <f t="shared" ca="1" si="55"/>
        <v>54.976224434735983</v>
      </c>
      <c r="U120" s="35">
        <f t="shared" ca="1" si="25"/>
        <v>0.81051009819316422</v>
      </c>
      <c r="V120" s="35">
        <f t="shared" ca="1" si="44"/>
        <v>0.55161753430805571</v>
      </c>
      <c r="W120" s="35">
        <f t="shared" ca="1" si="45"/>
        <v>44.558785064887303</v>
      </c>
      <c r="X120" s="35">
        <f t="shared" ca="1" si="26"/>
        <v>0.16831697697947479</v>
      </c>
      <c r="Y120" s="35">
        <f t="shared" ca="1" si="27"/>
        <v>0.12278034858528961</v>
      </c>
      <c r="Z120" s="35">
        <f t="shared" ca="1" si="28"/>
        <v>61.08469381637331</v>
      </c>
      <c r="AA120" s="45">
        <f t="shared" si="46"/>
        <v>1.1224489795918369</v>
      </c>
    </row>
    <row r="121" spans="1:27" s="11" customFormat="1">
      <c r="A121" s="44"/>
      <c r="B121" s="54">
        <f t="shared" si="53"/>
        <v>1.5</v>
      </c>
      <c r="C121" s="36">
        <f t="shared" si="56"/>
        <v>6</v>
      </c>
      <c r="D121" s="36">
        <f t="shared" si="54"/>
        <v>15</v>
      </c>
      <c r="E121" s="36">
        <f t="shared" ca="1" si="37"/>
        <v>27</v>
      </c>
      <c r="F121" s="36">
        <f t="shared" ca="1" si="38"/>
        <v>8.7340550285297773</v>
      </c>
      <c r="G121" s="36">
        <f t="shared" ca="1" si="39"/>
        <v>5.0506233399653979</v>
      </c>
      <c r="H121" s="36">
        <f t="shared" ca="1" si="40"/>
        <v>54.856749563425957</v>
      </c>
      <c r="I121" s="36">
        <f t="shared" ca="1" si="41"/>
        <v>44.700605923061268</v>
      </c>
      <c r="J121" s="36">
        <f t="shared" ca="1" si="57"/>
        <v>47.31827513572938</v>
      </c>
      <c r="K121" s="36">
        <f t="shared" ca="1" si="42"/>
        <v>803.47099469709144</v>
      </c>
      <c r="L121" s="36">
        <f t="shared" ca="1" si="43"/>
        <v>771.96232823838204</v>
      </c>
      <c r="M121" s="36">
        <f t="shared" ca="1" si="58"/>
        <v>780.08344871893382</v>
      </c>
      <c r="N121" s="36">
        <f t="shared" ca="1" si="19"/>
        <v>47.31827513572938</v>
      </c>
      <c r="O121" s="36">
        <f t="shared" ca="1" si="20"/>
        <v>780.08344871893382</v>
      </c>
      <c r="P121" s="35">
        <f t="shared" ca="1" si="21"/>
        <v>9.3985957676979979</v>
      </c>
      <c r="Q121" s="35">
        <f t="shared" ca="1" si="22"/>
        <v>5.0346111595050616</v>
      </c>
      <c r="R121" s="35">
        <f t="shared" ca="1" si="23"/>
        <v>5.4536111595050611</v>
      </c>
      <c r="S121" s="35">
        <f t="shared" ca="1" si="24"/>
        <v>10.707462445979212</v>
      </c>
      <c r="T121" s="35">
        <f t="shared" ca="1" si="55"/>
        <v>58.394336685373588</v>
      </c>
      <c r="U121" s="35">
        <f t="shared" ca="1" si="25"/>
        <v>0.81032301797823991</v>
      </c>
      <c r="V121" s="35">
        <f t="shared" ca="1" si="44"/>
        <v>0.57924090548013207</v>
      </c>
      <c r="W121" s="35">
        <f t="shared" ca="1" si="45"/>
        <v>47.318275135729387</v>
      </c>
      <c r="X121" s="35">
        <f t="shared" ca="1" si="26"/>
        <v>0.19020135400506649</v>
      </c>
      <c r="Y121" s="35">
        <f t="shared" ca="1" si="27"/>
        <v>0.13871208168083979</v>
      </c>
      <c r="Z121" s="35">
        <f t="shared" ca="1" si="28"/>
        <v>64.882596317081763</v>
      </c>
      <c r="AA121" s="45">
        <f t="shared" si="46"/>
        <v>1.346938775510204</v>
      </c>
    </row>
    <row r="122" spans="1:27" s="11" customFormat="1">
      <c r="A122" s="44"/>
      <c r="B122" s="54">
        <f t="shared" si="53"/>
        <v>1.5</v>
      </c>
      <c r="C122" s="36">
        <f t="shared" si="56"/>
        <v>7</v>
      </c>
      <c r="D122" s="36">
        <f t="shared" si="54"/>
        <v>15</v>
      </c>
      <c r="E122" s="36">
        <f t="shared" ca="1" si="37"/>
        <v>27</v>
      </c>
      <c r="F122" s="36">
        <f t="shared" ca="1" si="38"/>
        <v>8.7340550285297773</v>
      </c>
      <c r="G122" s="36">
        <f t="shared" ca="1" si="39"/>
        <v>5.0506233399653979</v>
      </c>
      <c r="H122" s="36">
        <f t="shared" ca="1" si="40"/>
        <v>54.856749563425957</v>
      </c>
      <c r="I122" s="36">
        <f t="shared" ca="1" si="41"/>
        <v>44.700605923061268</v>
      </c>
      <c r="J122" s="36">
        <f t="shared" ca="1" si="57"/>
        <v>50.075525574741334</v>
      </c>
      <c r="K122" s="36">
        <f t="shared" ca="1" si="42"/>
        <v>803.47099469709144</v>
      </c>
      <c r="L122" s="36">
        <f t="shared" ca="1" si="43"/>
        <v>771.96232823838204</v>
      </c>
      <c r="M122" s="36">
        <f t="shared" ca="1" si="58"/>
        <v>788.63760938289613</v>
      </c>
      <c r="N122" s="36">
        <f t="shared" ca="1" si="19"/>
        <v>50.075525574741334</v>
      </c>
      <c r="O122" s="36">
        <f t="shared" ca="1" si="20"/>
        <v>788.63760938289613</v>
      </c>
      <c r="P122" s="35">
        <f t="shared" ca="1" si="21"/>
        <v>9.5016579443722424</v>
      </c>
      <c r="Q122" s="35">
        <f t="shared" ca="1" si="22"/>
        <v>5.2701881995658111</v>
      </c>
      <c r="R122" s="35">
        <f t="shared" ca="1" si="23"/>
        <v>5.6891881995658107</v>
      </c>
      <c r="S122" s="35">
        <f t="shared" ca="1" si="24"/>
        <v>10.867063112268037</v>
      </c>
      <c r="T122" s="35">
        <f t="shared" ca="1" si="55"/>
        <v>61.824767222252227</v>
      </c>
      <c r="U122" s="35">
        <f t="shared" ca="1" si="25"/>
        <v>0.80995898285756818</v>
      </c>
      <c r="V122" s="35">
        <f t="shared" ca="1" si="44"/>
        <v>0.60634445998950004</v>
      </c>
      <c r="W122" s="35">
        <f t="shared" ca="1" si="45"/>
        <v>50.075525574741334</v>
      </c>
      <c r="X122" s="35">
        <f t="shared" ca="1" si="26"/>
        <v>0.20968327100886824</v>
      </c>
      <c r="Y122" s="35">
        <f t="shared" ca="1" si="27"/>
        <v>0.15285136401773167</v>
      </c>
      <c r="Z122" s="35">
        <f t="shared" ca="1" si="28"/>
        <v>68.694185802502474</v>
      </c>
      <c r="AA122" s="45">
        <f t="shared" si="46"/>
        <v>1.5714285714285714</v>
      </c>
    </row>
    <row r="123" spans="1:27" s="11" customFormat="1">
      <c r="A123" s="44"/>
      <c r="B123" s="54">
        <f t="shared" si="53"/>
        <v>1.5</v>
      </c>
      <c r="C123" s="36">
        <f t="shared" si="56"/>
        <v>8</v>
      </c>
      <c r="D123" s="36">
        <f t="shared" si="54"/>
        <v>15</v>
      </c>
      <c r="E123" s="36">
        <f t="shared" ca="1" si="37"/>
        <v>27</v>
      </c>
      <c r="F123" s="36">
        <f t="shared" ca="1" si="38"/>
        <v>8.7340550285297773</v>
      </c>
      <c r="G123" s="36">
        <f t="shared" ca="1" si="39"/>
        <v>5.0506233399653979</v>
      </c>
      <c r="H123" s="36">
        <f t="shared" ca="1" si="40"/>
        <v>54.856749563425957</v>
      </c>
      <c r="I123" s="36">
        <f t="shared" ca="1" si="41"/>
        <v>44.700605923061268</v>
      </c>
      <c r="J123" s="36">
        <f t="shared" ca="1" si="57"/>
        <v>52.832776013753296</v>
      </c>
      <c r="K123" s="36">
        <f t="shared" ca="1" si="42"/>
        <v>803.47099469709144</v>
      </c>
      <c r="L123" s="36">
        <f t="shared" ca="1" si="43"/>
        <v>771.96232823838204</v>
      </c>
      <c r="M123" s="36">
        <f t="shared" ca="1" si="58"/>
        <v>797.19177004685832</v>
      </c>
      <c r="N123" s="36">
        <f t="shared" ca="1" si="19"/>
        <v>52.832776013753296</v>
      </c>
      <c r="O123" s="36">
        <f t="shared" ca="1" si="20"/>
        <v>797.19177004685832</v>
      </c>
      <c r="P123" s="35">
        <f t="shared" ca="1" si="21"/>
        <v>9.6047201210464852</v>
      </c>
      <c r="Q123" s="35">
        <f t="shared" ca="1" si="22"/>
        <v>5.5007095831957349</v>
      </c>
      <c r="R123" s="35">
        <f t="shared" ca="1" si="23"/>
        <v>5.9197095831957345</v>
      </c>
      <c r="S123" s="35">
        <f t="shared" ca="1" si="24"/>
        <v>11.025450421013462</v>
      </c>
      <c r="T123" s="35">
        <f t="shared" ca="1" si="55"/>
        <v>65.267464516322832</v>
      </c>
      <c r="U123" s="35">
        <f t="shared" ca="1" si="25"/>
        <v>0.80948105469211651</v>
      </c>
      <c r="V123" s="35">
        <f t="shared" ca="1" si="44"/>
        <v>0.63286635229775456</v>
      </c>
      <c r="W123" s="35">
        <f t="shared" ca="1" si="45"/>
        <v>52.832776013753303</v>
      </c>
      <c r="X123" s="35">
        <f t="shared" ca="1" si="26"/>
        <v>0.22713173346931817</v>
      </c>
      <c r="Y123" s="35">
        <f t="shared" ca="1" si="27"/>
        <v>0.16547295164651313</v>
      </c>
      <c r="Z123" s="35">
        <f t="shared" ca="1" si="28"/>
        <v>72.519405018136482</v>
      </c>
      <c r="AA123" s="45">
        <f t="shared" si="46"/>
        <v>1.7959183673469388</v>
      </c>
    </row>
    <row r="124" spans="1:27" s="11" customFormat="1">
      <c r="A124" s="44"/>
      <c r="B124" s="54">
        <f t="shared" si="53"/>
        <v>1.5</v>
      </c>
      <c r="C124" s="36">
        <f t="shared" si="56"/>
        <v>9</v>
      </c>
      <c r="D124" s="36">
        <f t="shared" si="54"/>
        <v>15</v>
      </c>
      <c r="E124" s="36">
        <f t="shared" ca="1" si="37"/>
        <v>26</v>
      </c>
      <c r="F124" s="36">
        <f t="shared" ca="1" si="38"/>
        <v>12.548475173155277</v>
      </c>
      <c r="G124" s="36">
        <f t="shared" ca="1" si="39"/>
        <v>8.7340550285297773</v>
      </c>
      <c r="H124" s="36">
        <f t="shared" ca="1" si="40"/>
        <v>65.992674708036773</v>
      </c>
      <c r="I124" s="36">
        <f t="shared" ca="1" si="41"/>
        <v>54.856749563425957</v>
      </c>
      <c r="J124" s="36">
        <f t="shared" ca="1" si="57"/>
        <v>55.633156771491606</v>
      </c>
      <c r="K124" s="36">
        <f t="shared" ca="1" si="42"/>
        <v>837.66124979058475</v>
      </c>
      <c r="L124" s="36">
        <f t="shared" ca="1" si="43"/>
        <v>803.47099469709144</v>
      </c>
      <c r="M124" s="36">
        <f t="shared" ca="1" si="58"/>
        <v>805.85477154144621</v>
      </c>
      <c r="N124" s="36">
        <f t="shared" ca="1" si="19"/>
        <v>55.633156771491606</v>
      </c>
      <c r="O124" s="36">
        <f t="shared" ca="1" si="20"/>
        <v>805.85477154144621</v>
      </c>
      <c r="P124" s="35">
        <f t="shared" ca="1" si="21"/>
        <v>9.7090936330294717</v>
      </c>
      <c r="Q124" s="35">
        <f t="shared" ca="1" si="22"/>
        <v>5.7300051759963013</v>
      </c>
      <c r="R124" s="35">
        <f t="shared" ca="1" si="23"/>
        <v>6.1490051759963009</v>
      </c>
      <c r="S124" s="35">
        <f t="shared" ca="1" si="24"/>
        <v>11.184854875268584</v>
      </c>
      <c r="T124" s="35">
        <f t="shared" ca="1" si="55"/>
        <v>68.775730520793985</v>
      </c>
      <c r="U124" s="35">
        <f t="shared" ca="1" si="25"/>
        <v>0.80890680986181906</v>
      </c>
      <c r="V124" s="35">
        <f t="shared" ca="1" si="44"/>
        <v>0.65924721520623397</v>
      </c>
      <c r="W124" s="35">
        <f t="shared" ca="1" si="45"/>
        <v>55.633156771491606</v>
      </c>
      <c r="X124" s="35">
        <f t="shared" ca="1" si="26"/>
        <v>0.2426610457402244</v>
      </c>
      <c r="Y124" s="35">
        <f t="shared" ca="1" si="27"/>
        <v>0.17666115514871211</v>
      </c>
      <c r="Z124" s="35">
        <f t="shared" ca="1" si="28"/>
        <v>76.417478356437755</v>
      </c>
      <c r="AA124" s="45">
        <f t="shared" si="46"/>
        <v>2.0204081632653059</v>
      </c>
    </row>
    <row r="125" spans="1:27" s="11" customFormat="1">
      <c r="A125" s="44"/>
      <c r="B125" s="54">
        <f t="shared" si="53"/>
        <v>1.5</v>
      </c>
      <c r="C125" s="36">
        <f t="shared" si="56"/>
        <v>10</v>
      </c>
      <c r="D125" s="36">
        <f t="shared" si="54"/>
        <v>15</v>
      </c>
      <c r="E125" s="36">
        <f t="shared" ca="1" si="37"/>
        <v>26</v>
      </c>
      <c r="F125" s="36">
        <f t="shared" ca="1" si="38"/>
        <v>12.548475173155277</v>
      </c>
      <c r="G125" s="36">
        <f t="shared" ca="1" si="39"/>
        <v>8.7340550285297773</v>
      </c>
      <c r="H125" s="36">
        <f t="shared" ca="1" si="40"/>
        <v>65.992674708036773</v>
      </c>
      <c r="I125" s="36">
        <f t="shared" ca="1" si="41"/>
        <v>54.856749563425957</v>
      </c>
      <c r="J125" s="36">
        <f t="shared" ca="1" si="57"/>
        <v>58.552584816223721</v>
      </c>
      <c r="K125" s="36">
        <f t="shared" ca="1" si="42"/>
        <v>837.66124979058475</v>
      </c>
      <c r="L125" s="36">
        <f t="shared" ca="1" si="43"/>
        <v>803.47099469709144</v>
      </c>
      <c r="M125" s="36">
        <f t="shared" ca="1" si="58"/>
        <v>814.81819292586488</v>
      </c>
      <c r="N125" s="36">
        <f t="shared" ca="1" si="19"/>
        <v>58.552584816223721</v>
      </c>
      <c r="O125" s="36">
        <f t="shared" ca="1" si="20"/>
        <v>814.81819292586488</v>
      </c>
      <c r="P125" s="35">
        <f t="shared" ca="1" si="21"/>
        <v>9.8170866617574077</v>
      </c>
      <c r="Q125" s="35">
        <f t="shared" ca="1" si="22"/>
        <v>5.964354480470881</v>
      </c>
      <c r="R125" s="35">
        <f t="shared" ca="1" si="23"/>
        <v>6.3833544804708806</v>
      </c>
      <c r="S125" s="35">
        <f t="shared" ca="1" si="24"/>
        <v>11.349091737070419</v>
      </c>
      <c r="T125" s="35">
        <f t="shared" ca="1" si="55"/>
        <v>72.445275589103503</v>
      </c>
      <c r="U125" s="35">
        <f t="shared" ca="1" si="25"/>
        <v>0.80823192872263183</v>
      </c>
      <c r="V125" s="35">
        <f t="shared" ca="1" si="44"/>
        <v>0.6862095165681209</v>
      </c>
      <c r="W125" s="35">
        <f t="shared" ca="1" si="45"/>
        <v>58.552584816223714</v>
      </c>
      <c r="X125" s="35">
        <f t="shared" ca="1" si="26"/>
        <v>0.25617997987757163</v>
      </c>
      <c r="Y125" s="35">
        <f t="shared" ca="1" si="27"/>
        <v>0.18634755531291725</v>
      </c>
      <c r="Z125" s="35">
        <f t="shared" ca="1" si="28"/>
        <v>80.494750654559439</v>
      </c>
      <c r="AA125" s="45">
        <f t="shared" si="46"/>
        <v>2.2448979591836737</v>
      </c>
    </row>
    <row r="126" spans="1:27" s="11" customFormat="1">
      <c r="A126" s="44"/>
      <c r="B126" s="54">
        <f t="shared" si="53"/>
        <v>1.5</v>
      </c>
      <c r="C126" s="36">
        <f t="shared" si="56"/>
        <v>11</v>
      </c>
      <c r="D126" s="36">
        <f t="shared" si="54"/>
        <v>15</v>
      </c>
      <c r="E126" s="36">
        <f t="shared" ca="1" si="37"/>
        <v>26</v>
      </c>
      <c r="F126" s="36">
        <f t="shared" ca="1" si="38"/>
        <v>12.548475173155277</v>
      </c>
      <c r="G126" s="36">
        <f t="shared" ca="1" si="39"/>
        <v>8.7340550285297773</v>
      </c>
      <c r="H126" s="36">
        <f t="shared" ca="1" si="40"/>
        <v>65.992674708036773</v>
      </c>
      <c r="I126" s="36">
        <f t="shared" ca="1" si="41"/>
        <v>54.856749563425957</v>
      </c>
      <c r="J126" s="36">
        <f t="shared" ca="1" si="57"/>
        <v>61.472012860955843</v>
      </c>
      <c r="K126" s="36">
        <f t="shared" ca="1" si="42"/>
        <v>837.66124979058475</v>
      </c>
      <c r="L126" s="36">
        <f t="shared" ca="1" si="43"/>
        <v>803.47099469709144</v>
      </c>
      <c r="M126" s="36">
        <f t="shared" ca="1" si="58"/>
        <v>823.78161431028343</v>
      </c>
      <c r="N126" s="36">
        <f t="shared" ca="1" si="19"/>
        <v>61.472012860955843</v>
      </c>
      <c r="O126" s="36">
        <f t="shared" ca="1" si="20"/>
        <v>823.78161431028343</v>
      </c>
      <c r="P126" s="35">
        <f t="shared" ca="1" si="21"/>
        <v>9.925079690485342</v>
      </c>
      <c r="Q126" s="35">
        <f t="shared" ca="1" si="22"/>
        <v>6.1936039586549478</v>
      </c>
      <c r="R126" s="35">
        <f t="shared" ca="1" si="23"/>
        <v>6.6126039586549474</v>
      </c>
      <c r="S126" s="35">
        <f t="shared" ca="1" si="24"/>
        <v>11.51210464056253</v>
      </c>
      <c r="T126" s="35">
        <f t="shared" ca="1" si="55"/>
        <v>76.124988718633773</v>
      </c>
      <c r="U126" s="35">
        <f t="shared" ca="1" si="25"/>
        <v>0.80751424592209897</v>
      </c>
      <c r="V126" s="35">
        <f t="shared" ca="1" si="44"/>
        <v>0.71258507390852965</v>
      </c>
      <c r="W126" s="35">
        <f t="shared" ca="1" si="45"/>
        <v>61.472012860955843</v>
      </c>
      <c r="X126" s="35">
        <f t="shared" ca="1" si="26"/>
        <v>0.26841483192231747</v>
      </c>
      <c r="Y126" s="35">
        <f t="shared" ca="1" si="27"/>
        <v>0.19507392053465142</v>
      </c>
      <c r="Z126" s="35">
        <f t="shared" ca="1" si="28"/>
        <v>84.583320798481964</v>
      </c>
      <c r="AA126" s="45">
        <f t="shared" si="46"/>
        <v>2.4693877551020407</v>
      </c>
    </row>
    <row r="127" spans="1:27" s="11" customFormat="1">
      <c r="A127" s="44"/>
      <c r="B127" s="54">
        <f t="shared" si="53"/>
        <v>1.5</v>
      </c>
      <c r="C127" s="36">
        <f t="shared" si="56"/>
        <v>12</v>
      </c>
      <c r="D127" s="36">
        <f t="shared" si="54"/>
        <v>15</v>
      </c>
      <c r="E127" s="36">
        <f t="shared" ca="1" si="37"/>
        <v>26</v>
      </c>
      <c r="F127" s="36">
        <f t="shared" ca="1" si="38"/>
        <v>12.548475173155277</v>
      </c>
      <c r="G127" s="36">
        <f t="shared" ca="1" si="39"/>
        <v>8.7340550285297773</v>
      </c>
      <c r="H127" s="36">
        <f t="shared" ca="1" si="40"/>
        <v>65.992674708036773</v>
      </c>
      <c r="I127" s="36">
        <f t="shared" ca="1" si="41"/>
        <v>54.856749563425957</v>
      </c>
      <c r="J127" s="36">
        <f t="shared" ca="1" si="57"/>
        <v>64.391440905687958</v>
      </c>
      <c r="K127" s="36">
        <f t="shared" ca="1" si="42"/>
        <v>837.66124979058475</v>
      </c>
      <c r="L127" s="36">
        <f t="shared" ca="1" si="43"/>
        <v>803.47099469709144</v>
      </c>
      <c r="M127" s="36">
        <f t="shared" ca="1" si="58"/>
        <v>832.7450356947021</v>
      </c>
      <c r="N127" s="36">
        <f t="shared" ca="1" si="19"/>
        <v>64.391440905687958</v>
      </c>
      <c r="O127" s="36">
        <f t="shared" ca="1" si="20"/>
        <v>832.7450356947021</v>
      </c>
      <c r="P127" s="35">
        <f t="shared" ca="1" si="21"/>
        <v>10.033072719213278</v>
      </c>
      <c r="Q127" s="35">
        <f t="shared" ca="1" si="22"/>
        <v>6.4179182896161722</v>
      </c>
      <c r="R127" s="35">
        <f t="shared" ca="1" si="23"/>
        <v>6.8369182896161718</v>
      </c>
      <c r="S127" s="35">
        <f t="shared" ca="1" si="24"/>
        <v>11.67393310872116</v>
      </c>
      <c r="T127" s="35">
        <f t="shared" ca="1" si="55"/>
        <v>79.813726782771468</v>
      </c>
      <c r="U127" s="35">
        <f t="shared" ca="1" si="25"/>
        <v>0.80677151038118733</v>
      </c>
      <c r="V127" s="35">
        <f t="shared" ca="1" si="44"/>
        <v>0.73839283384503329</v>
      </c>
      <c r="W127" s="35">
        <f t="shared" ca="1" si="45"/>
        <v>64.391440905687958</v>
      </c>
      <c r="X127" s="35">
        <f t="shared" ca="1" si="26"/>
        <v>0.27954025794148657</v>
      </c>
      <c r="Y127" s="35">
        <f t="shared" ca="1" si="27"/>
        <v>0.20297260450061985</v>
      </c>
      <c r="Z127" s="35">
        <f t="shared" ca="1" si="28"/>
        <v>88.681918647523858</v>
      </c>
      <c r="AA127" s="45">
        <f t="shared" si="46"/>
        <v>2.693877551020408</v>
      </c>
    </row>
    <row r="128" spans="1:27" s="11" customFormat="1">
      <c r="A128" s="44"/>
      <c r="B128" s="54">
        <f t="shared" si="53"/>
        <v>1.5</v>
      </c>
      <c r="C128" s="36">
        <f t="shared" si="56"/>
        <v>13</v>
      </c>
      <c r="D128" s="36">
        <f t="shared" si="54"/>
        <v>15</v>
      </c>
      <c r="E128" s="36">
        <f t="shared" ca="1" si="37"/>
        <v>25</v>
      </c>
      <c r="F128" s="36">
        <f t="shared" ca="1" si="38"/>
        <v>16.962062849999999</v>
      </c>
      <c r="G128" s="36">
        <f t="shared" ca="1" si="39"/>
        <v>12.548475173155277</v>
      </c>
      <c r="H128" s="36">
        <f t="shared" ca="1" si="40"/>
        <v>79.553066699999988</v>
      </c>
      <c r="I128" s="36">
        <f t="shared" ca="1" si="41"/>
        <v>65.992674708036773</v>
      </c>
      <c r="J128" s="36">
        <f t="shared" ca="1" si="57"/>
        <v>67.379948303674283</v>
      </c>
      <c r="K128" s="36">
        <f t="shared" ca="1" si="42"/>
        <v>874.89063867016625</v>
      </c>
      <c r="L128" s="36">
        <f t="shared" ca="1" si="43"/>
        <v>837.66124979058475</v>
      </c>
      <c r="M128" s="36">
        <f t="shared" ca="1" si="58"/>
        <v>841.46994117686427</v>
      </c>
      <c r="N128" s="36">
        <f t="shared" ca="1" si="19"/>
        <v>67.379948303674283</v>
      </c>
      <c r="O128" s="36">
        <f t="shared" ca="1" si="20"/>
        <v>841.46994117686427</v>
      </c>
      <c r="P128" s="35">
        <f t="shared" ca="1" si="21"/>
        <v>10.138192062371859</v>
      </c>
      <c r="Q128" s="35">
        <f t="shared" ca="1" si="22"/>
        <v>6.6461503085699629</v>
      </c>
      <c r="R128" s="35">
        <f t="shared" ca="1" si="23"/>
        <v>7.0651503085699625</v>
      </c>
      <c r="S128" s="35">
        <f t="shared" ca="1" si="24"/>
        <v>11.83382813642865</v>
      </c>
      <c r="T128" s="35">
        <f t="shared" ca="1" si="55"/>
        <v>83.607774509652785</v>
      </c>
      <c r="U128" s="35">
        <f t="shared" ca="1" si="25"/>
        <v>0.80590529647329689</v>
      </c>
      <c r="V128" s="35">
        <f t="shared" ca="1" si="44"/>
        <v>0.76465133070407365</v>
      </c>
      <c r="W128" s="35">
        <f t="shared" ca="1" si="45"/>
        <v>67.379948303674283</v>
      </c>
      <c r="X128" s="35">
        <f t="shared" ca="1" si="26"/>
        <v>0.28940360583412095</v>
      </c>
      <c r="Y128" s="35">
        <f t="shared" ca="1" si="27"/>
        <v>0.20990870888416957</v>
      </c>
      <c r="Z128" s="35">
        <f t="shared" ca="1" si="28"/>
        <v>92.897527232947539</v>
      </c>
      <c r="AA128" s="45">
        <f t="shared" si="46"/>
        <v>2.9183673469387754</v>
      </c>
    </row>
    <row r="129" spans="1:27" s="11" customFormat="1">
      <c r="A129" s="44"/>
      <c r="B129" s="54">
        <f t="shared" si="53"/>
        <v>1.5</v>
      </c>
      <c r="C129" s="36">
        <f t="shared" si="56"/>
        <v>14</v>
      </c>
      <c r="D129" s="36">
        <f t="shared" si="54"/>
        <v>15</v>
      </c>
      <c r="E129" s="36">
        <f t="shared" ca="1" si="37"/>
        <v>25</v>
      </c>
      <c r="F129" s="36">
        <f t="shared" ca="1" si="38"/>
        <v>16.962062849999999</v>
      </c>
      <c r="G129" s="36">
        <f t="shared" ca="1" si="39"/>
        <v>12.548475173155277</v>
      </c>
      <c r="H129" s="36">
        <f t="shared" ca="1" si="40"/>
        <v>79.553066699999988</v>
      </c>
      <c r="I129" s="36">
        <f t="shared" ca="1" si="41"/>
        <v>65.992674708036773</v>
      </c>
      <c r="J129" s="36">
        <f t="shared" ca="1" si="57"/>
        <v>70.45236761078489</v>
      </c>
      <c r="K129" s="36">
        <f t="shared" ca="1" si="42"/>
        <v>874.89063867016625</v>
      </c>
      <c r="L129" s="36">
        <f t="shared" ca="1" si="43"/>
        <v>837.66124979058475</v>
      </c>
      <c r="M129" s="36">
        <f t="shared" ca="1" si="58"/>
        <v>849.9051171845598</v>
      </c>
      <c r="N129" s="36">
        <f t="shared" ca="1" si="19"/>
        <v>70.45236761078489</v>
      </c>
      <c r="O129" s="36">
        <f t="shared" ca="1" si="20"/>
        <v>849.9051171845598</v>
      </c>
      <c r="P129" s="35">
        <f t="shared" ca="1" si="21"/>
        <v>10.2398206889706</v>
      </c>
      <c r="Q129" s="35">
        <f t="shared" ca="1" si="22"/>
        <v>6.8802345031949388</v>
      </c>
      <c r="R129" s="35">
        <f t="shared" ca="1" si="23"/>
        <v>7.2992345031949384</v>
      </c>
      <c r="S129" s="35">
        <f t="shared" ca="1" si="24"/>
        <v>11.991636969737385</v>
      </c>
      <c r="T129" s="35">
        <f t="shared" ca="1" si="55"/>
        <v>87.529770319295125</v>
      </c>
      <c r="U129" s="35">
        <f t="shared" ca="1" si="25"/>
        <v>0.80489606397669622</v>
      </c>
      <c r="V129" s="35">
        <f t="shared" ca="1" si="44"/>
        <v>0.79158313070955555</v>
      </c>
      <c r="W129" s="35">
        <f t="shared" ca="1" si="45"/>
        <v>70.45236761078489</v>
      </c>
      <c r="X129" s="35">
        <f t="shared" ca="1" si="26"/>
        <v>0.29807372998470116</v>
      </c>
      <c r="Y129" s="35">
        <f t="shared" ca="1" si="27"/>
        <v>0.21592653483558466</v>
      </c>
      <c r="Z129" s="35">
        <f t="shared" ca="1" si="28"/>
        <v>97.255300354772359</v>
      </c>
      <c r="AA129" s="45">
        <f t="shared" si="46"/>
        <v>3.1428571428571428</v>
      </c>
    </row>
    <row r="130" spans="1:27" s="11" customFormat="1">
      <c r="A130" s="44"/>
      <c r="B130" s="54">
        <f t="shared" si="53"/>
        <v>1.5</v>
      </c>
      <c r="C130" s="36">
        <f t="shared" si="56"/>
        <v>15</v>
      </c>
      <c r="D130" s="36">
        <f t="shared" si="54"/>
        <v>15</v>
      </c>
      <c r="E130" s="36">
        <f t="shared" ca="1" si="37"/>
        <v>25</v>
      </c>
      <c r="F130" s="36">
        <f t="shared" ca="1" si="38"/>
        <v>16.962062849999999</v>
      </c>
      <c r="G130" s="36">
        <f t="shared" ca="1" si="39"/>
        <v>12.548475173155277</v>
      </c>
      <c r="H130" s="36">
        <f t="shared" ca="1" si="40"/>
        <v>79.553066699999988</v>
      </c>
      <c r="I130" s="36">
        <f t="shared" ca="1" si="41"/>
        <v>65.992674708036773</v>
      </c>
      <c r="J130" s="36">
        <f t="shared" ca="1" si="57"/>
        <v>73.524786917895511</v>
      </c>
      <c r="K130" s="36">
        <f t="shared" ca="1" si="42"/>
        <v>874.89063867016625</v>
      </c>
      <c r="L130" s="36">
        <f t="shared" ca="1" si="43"/>
        <v>837.66124979058475</v>
      </c>
      <c r="M130" s="36">
        <f t="shared" ca="1" si="58"/>
        <v>858.34029319225544</v>
      </c>
      <c r="N130" s="36">
        <f t="shared" ca="1" si="19"/>
        <v>73.524786917895511</v>
      </c>
      <c r="O130" s="36">
        <f t="shared" ca="1" si="20"/>
        <v>858.34029319225544</v>
      </c>
      <c r="P130" s="35">
        <f t="shared" ca="1" si="21"/>
        <v>10.341449315569342</v>
      </c>
      <c r="Q130" s="35">
        <f t="shared" ca="1" si="22"/>
        <v>7.109717862002368</v>
      </c>
      <c r="R130" s="35">
        <f t="shared" ca="1" si="23"/>
        <v>7.5287178620023676</v>
      </c>
      <c r="S130" s="35">
        <f t="shared" ca="1" si="24"/>
        <v>12.148341602449911</v>
      </c>
      <c r="T130" s="35">
        <f t="shared" ca="1" si="55"/>
        <v>91.461436416071109</v>
      </c>
      <c r="U130" s="35">
        <f t="shared" ca="1" si="25"/>
        <v>0.80388839054987915</v>
      </c>
      <c r="V130" s="35">
        <f t="shared" ca="1" si="44"/>
        <v>0.81798559642873625</v>
      </c>
      <c r="W130" s="35">
        <f t="shared" ca="1" si="45"/>
        <v>73.524786917895511</v>
      </c>
      <c r="X130" s="35">
        <f t="shared" ca="1" si="26"/>
        <v>0.30601924797314345</v>
      </c>
      <c r="Y130" s="35">
        <f t="shared" ca="1" si="27"/>
        <v>0.22140478865737317</v>
      </c>
      <c r="Z130" s="35">
        <f t="shared" ca="1" si="28"/>
        <v>101.623818240079</v>
      </c>
      <c r="AA130" s="45">
        <f t="shared" si="46"/>
        <v>3.3673469387755102</v>
      </c>
    </row>
    <row r="131" spans="1:27" s="11" customFormat="1" ht="15.75" thickBot="1">
      <c r="A131" s="46"/>
      <c r="B131" s="55">
        <f t="shared" si="53"/>
        <v>1.5</v>
      </c>
      <c r="C131" s="47">
        <f t="shared" si="56"/>
        <v>16</v>
      </c>
      <c r="D131" s="47">
        <f t="shared" si="54"/>
        <v>15</v>
      </c>
      <c r="E131" s="47">
        <f t="shared" ca="1" si="37"/>
        <v>25</v>
      </c>
      <c r="F131" s="47">
        <f t="shared" ca="1" si="38"/>
        <v>16.962062849999999</v>
      </c>
      <c r="G131" s="47">
        <f t="shared" ca="1" si="39"/>
        <v>12.548475173155277</v>
      </c>
      <c r="H131" s="47">
        <f t="shared" ca="1" si="40"/>
        <v>79.553066699999988</v>
      </c>
      <c r="I131" s="47">
        <f t="shared" ca="1" si="41"/>
        <v>65.992674708036773</v>
      </c>
      <c r="J131" s="47">
        <f t="shared" ca="1" si="57"/>
        <v>76.597206225006133</v>
      </c>
      <c r="K131" s="47">
        <f t="shared" ca="1" si="42"/>
        <v>874.89063867016625</v>
      </c>
      <c r="L131" s="47">
        <f t="shared" ca="1" si="43"/>
        <v>837.66124979058475</v>
      </c>
      <c r="M131" s="47">
        <f t="shared" ca="1" si="58"/>
        <v>866.77546919995098</v>
      </c>
      <c r="N131" s="47">
        <f t="shared" ca="1" si="19"/>
        <v>76.597206225006133</v>
      </c>
      <c r="O131" s="47">
        <f t="shared" ca="1" si="20"/>
        <v>866.77546919995098</v>
      </c>
      <c r="P131" s="48">
        <f t="shared" ca="1" si="21"/>
        <v>10.443077942168085</v>
      </c>
      <c r="Q131" s="48">
        <f t="shared" ca="1" si="22"/>
        <v>7.334734706490547</v>
      </c>
      <c r="R131" s="48">
        <f t="shared" ca="1" si="23"/>
        <v>7.7537347064905466</v>
      </c>
      <c r="S131" s="48">
        <f t="shared" ca="1" si="24"/>
        <v>12.303974271725815</v>
      </c>
      <c r="T131" s="48">
        <f t="shared" ca="1" si="55"/>
        <v>95.401752338447196</v>
      </c>
      <c r="U131" s="48">
        <f t="shared" ca="1" si="25"/>
        <v>0.80289097786453578</v>
      </c>
      <c r="V131" s="48">
        <f t="shared" ca="1" si="44"/>
        <v>0.84387418178721896</v>
      </c>
      <c r="W131" s="48">
        <f t="shared" ca="1" si="45"/>
        <v>76.597206225006133</v>
      </c>
      <c r="X131" s="48">
        <f t="shared" ca="1" si="26"/>
        <v>0.3133273546491947</v>
      </c>
      <c r="Y131" s="48">
        <f t="shared" ca="1" si="27"/>
        <v>0.22641093554940014</v>
      </c>
      <c r="Z131" s="48">
        <f t="shared" ca="1" si="28"/>
        <v>106.00194704271911</v>
      </c>
      <c r="AA131" s="49">
        <f t="shared" si="46"/>
        <v>3.5918367346938775</v>
      </c>
    </row>
    <row r="132" spans="1:27">
      <c r="A132" s="99" t="str">
        <f>_xlfn.CONCAT("v = ", TEXT(B132,"0.0"), " m/s")</f>
        <v>v = 2.0 m/s</v>
      </c>
      <c r="B132" s="50">
        <f>$B$10</f>
        <v>2</v>
      </c>
      <c r="C132" s="102">
        <f>C116</f>
        <v>1</v>
      </c>
      <c r="D132" s="102">
        <f>COLUMN($R$34)</f>
        <v>18</v>
      </c>
      <c r="E132" s="39">
        <f t="shared" ref="E132:E163" ca="1" si="59">MATCH($C132,OFFSET($A$34,0,$D132+1,30,1),-1)</f>
        <v>29</v>
      </c>
      <c r="F132" s="39">
        <f t="shared" ref="F132:F163" ca="1" si="60">INDEX(OFFSET($A$34,0,$D132+1,30,1),$E132)</f>
        <v>4.5002493855464571</v>
      </c>
      <c r="G132" s="39">
        <f t="shared" ref="G132:G163" ca="1" si="61">INDEX(OFFSET($A$34,0,$D132+1,30,1),$E132+1)</f>
        <v>7.082897057851241E-2</v>
      </c>
      <c r="H132" s="39">
        <f t="shared" ref="H132:H163" ca="1" si="62">INDEX(OFFSET($A$34,0,$D132,30,1),$E132)</f>
        <v>89.227841990367878</v>
      </c>
      <c r="I132" s="39">
        <f t="shared" ref="I132:I163" ca="1" si="63">INDEX(OFFSET($A$34,0,$D132,30,1),$E132+1)</f>
        <v>74.177249187678441</v>
      </c>
      <c r="J132" s="39">
        <f ca="1">H132+ (H132-I132)/(F132-G132)*(C132-F132)</f>
        <v>77.334451145889886</v>
      </c>
      <c r="K132" s="39">
        <f t="shared" ref="K132:K163" ca="1" si="64">INDEX(OFFSET($A$34,0,$D132-1,30,1),$E132)</f>
        <v>990.442232456792</v>
      </c>
      <c r="L132" s="39">
        <f t="shared" ref="L132:L163" ca="1" si="65">INDEX(OFFSET($A$34,0,$D132-1,30,1),$E132+1)</f>
        <v>954.42615127654494</v>
      </c>
      <c r="M132" s="39">
        <f ca="1">K132+ (K132-L132)/(F132-G132)*(C132-F132)</f>
        <v>961.98133820639532</v>
      </c>
      <c r="N132" s="39">
        <f t="shared" ca="1" si="19"/>
        <v>77.334451145889886</v>
      </c>
      <c r="O132" s="39">
        <f t="shared" ca="1" si="20"/>
        <v>961.98133820639532</v>
      </c>
      <c r="P132" s="14">
        <f t="shared" ca="1" si="21"/>
        <v>11.59013660489633</v>
      </c>
      <c r="Q132" s="14">
        <f t="shared" ca="1" si="22"/>
        <v>6.6724365537865564</v>
      </c>
      <c r="R132" s="14">
        <f t="shared" ca="1" si="23"/>
        <v>7.091436553786556</v>
      </c>
      <c r="S132" s="14">
        <f t="shared" ca="1" si="24"/>
        <v>13.292081377805102</v>
      </c>
      <c r="T132" s="14">
        <f ca="1">R132*S132</f>
        <v>94.259951758472667</v>
      </c>
      <c r="U132" s="14">
        <f t="shared" ca="1" si="25"/>
        <v>0.82043805140117299</v>
      </c>
      <c r="V132" s="14">
        <f t="shared" ref="V132:V163" ca="1" si="66">J132/(M132/60*2*PI())</f>
        <v>0.76767560964013137</v>
      </c>
      <c r="W132" s="14">
        <f t="shared" ref="W132:W163" ca="1" si="67">V132*(M132/60*2*PI())</f>
        <v>77.334451145889886</v>
      </c>
      <c r="X132" s="14">
        <f t="shared" ca="1" si="26"/>
        <v>2.5861695148350381E-2</v>
      </c>
      <c r="Y132" s="14">
        <f t="shared" ca="1" si="27"/>
        <v>1.909612689609938E-2</v>
      </c>
      <c r="Z132" s="14">
        <f t="shared" ca="1" si="28"/>
        <v>104.73327973163629</v>
      </c>
      <c r="AA132" s="15">
        <f t="shared" ref="AA132:AA163" si="68">C132/9.8*2.2</f>
        <v>0.22448979591836735</v>
      </c>
    </row>
    <row r="133" spans="1:27">
      <c r="A133" s="16"/>
      <c r="B133" s="51">
        <f t="shared" ref="B133:B147" si="69">$B$10</f>
        <v>2</v>
      </c>
      <c r="C133" s="117">
        <f>C117</f>
        <v>2</v>
      </c>
      <c r="D133" s="34">
        <f t="shared" ref="D133:D147" si="70">COLUMN($R$34)</f>
        <v>18</v>
      </c>
      <c r="E133" s="34">
        <f t="shared" ca="1" si="59"/>
        <v>29</v>
      </c>
      <c r="F133" s="34">
        <f t="shared" ca="1" si="60"/>
        <v>4.5002493855464571</v>
      </c>
      <c r="G133" s="34">
        <f t="shared" ca="1" si="61"/>
        <v>7.082897057851241E-2</v>
      </c>
      <c r="H133" s="34">
        <f t="shared" ca="1" si="62"/>
        <v>89.227841990367878</v>
      </c>
      <c r="I133" s="34">
        <f t="shared" ca="1" si="63"/>
        <v>74.177249187678441</v>
      </c>
      <c r="J133" s="34">
        <f ca="1">H133+ (H133-I133)/(F133-G133)*(C133-F133)</f>
        <v>80.732320707295784</v>
      </c>
      <c r="K133" s="34">
        <f t="shared" ca="1" si="64"/>
        <v>990.442232456792</v>
      </c>
      <c r="L133" s="34">
        <f t="shared" ca="1" si="65"/>
        <v>954.42615127654494</v>
      </c>
      <c r="M133" s="34">
        <f ca="1">K133+ (K133-L133)/(F133-G133)*(C133-F133)</f>
        <v>970.11244291222567</v>
      </c>
      <c r="N133" s="34">
        <f t="shared" ref="N133:N179" ca="1" si="71">J133/$B$20</f>
        <v>80.732320707295784</v>
      </c>
      <c r="O133" s="34">
        <f t="shared" ref="O133:O179" ca="1" si="72">M133/$B$19</f>
        <v>970.11244291222567</v>
      </c>
      <c r="P133" s="7">
        <f t="shared" ref="P133:P179" ca="1" si="73">M133/$B$16</f>
        <v>11.688101721834045</v>
      </c>
      <c r="Q133" s="7">
        <f t="shared" ref="Q133:Q179" ca="1" si="74">N133/P133</f>
        <v>6.9072226293584675</v>
      </c>
      <c r="R133" s="7">
        <f t="shared" ref="R133:R179" ca="1" si="75">Q133+$B$17</f>
        <v>7.3262226293584671</v>
      </c>
      <c r="S133" s="7">
        <f t="shared" ref="S133:S179" ca="1" si="76">P133+$B$18*R133</f>
        <v>13.446395152880077</v>
      </c>
      <c r="T133" s="7">
        <f t="shared" ref="T133:T147" ca="1" si="77">R133*S133</f>
        <v>98.511284452326024</v>
      </c>
      <c r="U133" s="7">
        <f t="shared" ref="U133:U179" ca="1" si="78">N133/T133</f>
        <v>0.81952358205587839</v>
      </c>
      <c r="V133" s="7">
        <f t="shared" ca="1" si="66"/>
        <v>0.79468816228814365</v>
      </c>
      <c r="W133" s="7">
        <f t="shared" ca="1" si="67"/>
        <v>80.732320707295784</v>
      </c>
      <c r="X133" s="7">
        <f t="shared" ref="X133:X179" ca="1" si="79">C133*B133/J133</f>
        <v>4.9546451346325779E-2</v>
      </c>
      <c r="Y133" s="7">
        <f t="shared" ref="Y133:Y179" ca="1" si="80">U133*X133*$B$20*$B$21</f>
        <v>3.6544036756948381E-2</v>
      </c>
      <c r="Z133" s="7">
        <f t="shared" ref="Z133:Z179" ca="1" si="81">T133/$B$21</f>
        <v>109.45698272480669</v>
      </c>
      <c r="AA133" s="17">
        <f t="shared" si="68"/>
        <v>0.44897959183673469</v>
      </c>
    </row>
    <row r="134" spans="1:27">
      <c r="A134" s="16"/>
      <c r="B134" s="51">
        <f t="shared" si="69"/>
        <v>2</v>
      </c>
      <c r="C134" s="117">
        <f t="shared" ref="C134:C147" si="82">C118</f>
        <v>3</v>
      </c>
      <c r="D134" s="34">
        <f t="shared" si="70"/>
        <v>18</v>
      </c>
      <c r="E134" s="34">
        <f t="shared" ca="1" si="59"/>
        <v>29</v>
      </c>
      <c r="F134" s="34">
        <f t="shared" ca="1" si="60"/>
        <v>4.5002493855464571</v>
      </c>
      <c r="G134" s="34">
        <f t="shared" ca="1" si="61"/>
        <v>7.082897057851241E-2</v>
      </c>
      <c r="H134" s="34">
        <f t="shared" ca="1" si="62"/>
        <v>89.227841990367878</v>
      </c>
      <c r="I134" s="34">
        <f t="shared" ca="1" si="63"/>
        <v>74.177249187678441</v>
      </c>
      <c r="J134" s="34">
        <f ca="1">H134+ (H134-I134)/(F134-G134)*(C134-F134)</f>
        <v>84.130190268701682</v>
      </c>
      <c r="K134" s="34">
        <f t="shared" ca="1" si="64"/>
        <v>990.442232456792</v>
      </c>
      <c r="L134" s="34">
        <f t="shared" ca="1" si="65"/>
        <v>954.42615127654494</v>
      </c>
      <c r="M134" s="34">
        <f ca="1">K134+ (K134-L134)/(F134-G134)*(C134-F134)</f>
        <v>978.24354761805603</v>
      </c>
      <c r="N134" s="34">
        <f t="shared" ca="1" si="71"/>
        <v>84.130190268701682</v>
      </c>
      <c r="O134" s="34">
        <f t="shared" ca="1" si="72"/>
        <v>978.24354761805603</v>
      </c>
      <c r="P134" s="7">
        <f t="shared" ca="1" si="73"/>
        <v>11.78606683877176</v>
      </c>
      <c r="Q134" s="7">
        <f t="shared" ca="1" si="74"/>
        <v>7.1381056479286853</v>
      </c>
      <c r="R134" s="7">
        <f t="shared" ca="1" si="75"/>
        <v>7.5571056479286849</v>
      </c>
      <c r="S134" s="7">
        <f t="shared" ca="1" si="76"/>
        <v>13.599772194274644</v>
      </c>
      <c r="T134" s="7">
        <f t="shared" ca="1" si="77"/>
        <v>102.7749152598964</v>
      </c>
      <c r="U134" s="7">
        <f t="shared" ca="1" si="78"/>
        <v>0.81858681231654551</v>
      </c>
      <c r="V134" s="7">
        <f t="shared" ca="1" si="66"/>
        <v>0.82125166133495897</v>
      </c>
      <c r="W134" s="7">
        <f t="shared" ca="1" si="67"/>
        <v>84.130190268701682</v>
      </c>
      <c r="X134" s="7">
        <f t="shared" ca="1" si="79"/>
        <v>7.131803673374236E-2</v>
      </c>
      <c r="Y134" s="7">
        <f t="shared" ca="1" si="80"/>
        <v>5.2542003915493615E-2</v>
      </c>
      <c r="Z134" s="7">
        <f t="shared" ca="1" si="81"/>
        <v>114.19435028877378</v>
      </c>
      <c r="AA134" s="17">
        <f t="shared" si="68"/>
        <v>0.67346938775510201</v>
      </c>
    </row>
    <row r="135" spans="1:27">
      <c r="A135" s="16"/>
      <c r="B135" s="51">
        <f t="shared" si="69"/>
        <v>2</v>
      </c>
      <c r="C135" s="117">
        <f t="shared" si="82"/>
        <v>4</v>
      </c>
      <c r="D135" s="34">
        <f t="shared" si="70"/>
        <v>18</v>
      </c>
      <c r="E135" s="34">
        <f t="shared" ca="1" si="59"/>
        <v>29</v>
      </c>
      <c r="F135" s="34">
        <f t="shared" ca="1" si="60"/>
        <v>4.5002493855464571</v>
      </c>
      <c r="G135" s="34">
        <f t="shared" ca="1" si="61"/>
        <v>7.082897057851241E-2</v>
      </c>
      <c r="H135" s="34">
        <f t="shared" ca="1" si="62"/>
        <v>89.227841990367878</v>
      </c>
      <c r="I135" s="34">
        <f t="shared" ca="1" si="63"/>
        <v>74.177249187678441</v>
      </c>
      <c r="J135" s="34">
        <f ca="1">H135+ (H135-I135)/(F135-G135)*(C135-F135)</f>
        <v>87.528059830107566</v>
      </c>
      <c r="K135" s="34">
        <f t="shared" ca="1" si="64"/>
        <v>990.442232456792</v>
      </c>
      <c r="L135" s="34">
        <f t="shared" ca="1" si="65"/>
        <v>954.42615127654494</v>
      </c>
      <c r="M135" s="34">
        <f ca="1">K135+ (K135-L135)/(F135-G135)*(C135-F135)</f>
        <v>986.37465232388649</v>
      </c>
      <c r="N135" s="34">
        <f t="shared" ca="1" si="71"/>
        <v>87.528059830107566</v>
      </c>
      <c r="O135" s="34">
        <f t="shared" ca="1" si="72"/>
        <v>986.37465232388649</v>
      </c>
      <c r="P135" s="7">
        <f t="shared" ca="1" si="73"/>
        <v>11.884031955709476</v>
      </c>
      <c r="Q135" s="7">
        <f t="shared" ca="1" si="74"/>
        <v>7.3651821331611478</v>
      </c>
      <c r="R135" s="7">
        <f t="shared" ca="1" si="75"/>
        <v>7.7841821331611474</v>
      </c>
      <c r="S135" s="7">
        <f t="shared" ca="1" si="76"/>
        <v>13.752235667668153</v>
      </c>
      <c r="T135" s="7">
        <f t="shared" ca="1" si="77"/>
        <v>107.04990717528389</v>
      </c>
      <c r="U135" s="7">
        <f t="shared" ca="1" si="78"/>
        <v>0.81763788628783041</v>
      </c>
      <c r="V135" s="7">
        <f t="shared" ca="1" si="66"/>
        <v>0.84737721199858318</v>
      </c>
      <c r="W135" s="7">
        <f t="shared" ca="1" si="67"/>
        <v>87.528059830107566</v>
      </c>
      <c r="X135" s="7">
        <f t="shared" ca="1" si="79"/>
        <v>9.1399261168681717E-2</v>
      </c>
      <c r="Y135" s="7">
        <f t="shared" ca="1" si="80"/>
        <v>6.7258348839207269E-2</v>
      </c>
      <c r="Z135" s="7">
        <f t="shared" ca="1" si="81"/>
        <v>118.94434130587099</v>
      </c>
      <c r="AA135" s="17">
        <f t="shared" si="68"/>
        <v>0.89795918367346939</v>
      </c>
    </row>
    <row r="136" spans="1:27">
      <c r="A136" s="16"/>
      <c r="B136" s="51">
        <f t="shared" si="69"/>
        <v>2</v>
      </c>
      <c r="C136" s="117">
        <f t="shared" si="82"/>
        <v>5</v>
      </c>
      <c r="D136" s="34">
        <f t="shared" si="70"/>
        <v>18</v>
      </c>
      <c r="E136" s="34">
        <f t="shared" ca="1" si="59"/>
        <v>28</v>
      </c>
      <c r="F136" s="34">
        <f t="shared" ca="1" si="60"/>
        <v>8.978885937716262</v>
      </c>
      <c r="G136" s="34">
        <f t="shared" ca="1" si="61"/>
        <v>4.5002493855464571</v>
      </c>
      <c r="H136" s="34">
        <f t="shared" ca="1" si="62"/>
        <v>105.9569918176267</v>
      </c>
      <c r="I136" s="34">
        <f t="shared" ca="1" si="63"/>
        <v>89.227841990367878</v>
      </c>
      <c r="J136" s="34">
        <f t="shared" ref="J136:J147" ca="1" si="83">H136+ (H136-I136)/(F136-G136)*(C136-F136)</f>
        <v>91.094571475574156</v>
      </c>
      <c r="K136" s="34">
        <f t="shared" ca="1" si="64"/>
        <v>1029.2831043178426</v>
      </c>
      <c r="L136" s="34">
        <f t="shared" ca="1" si="65"/>
        <v>990.442232456792</v>
      </c>
      <c r="M136" s="34">
        <f t="shared" ref="M136:M147" ca="1" si="84">K136+ (K136-L136)/(F136-G136)*(C136-F136)</f>
        <v>994.77630809618881</v>
      </c>
      <c r="N136" s="34">
        <f t="shared" ca="1" si="71"/>
        <v>91.094571475574156</v>
      </c>
      <c r="O136" s="34">
        <f t="shared" ca="1" si="72"/>
        <v>994.77630809618881</v>
      </c>
      <c r="P136" s="7">
        <f t="shared" ca="1" si="73"/>
        <v>11.985256724050467</v>
      </c>
      <c r="Q136" s="7">
        <f t="shared" ca="1" si="74"/>
        <v>7.6005523763856742</v>
      </c>
      <c r="R136" s="7">
        <f t="shared" ca="1" si="75"/>
        <v>8.0195523763856738</v>
      </c>
      <c r="S136" s="7">
        <f t="shared" ca="1" si="76"/>
        <v>13.909949294383029</v>
      </c>
      <c r="T136" s="7">
        <f t="shared" ca="1" si="77"/>
        <v>111.55156691917365</v>
      </c>
      <c r="U136" s="7">
        <f t="shared" ca="1" si="78"/>
        <v>0.8166140018595891</v>
      </c>
      <c r="V136" s="7">
        <f t="shared" ca="1" si="66"/>
        <v>0.87445697416672186</v>
      </c>
      <c r="W136" s="7">
        <f t="shared" ca="1" si="67"/>
        <v>91.094571475574156</v>
      </c>
      <c r="X136" s="7">
        <f t="shared" ca="1" si="79"/>
        <v>0.10977602548667098</v>
      </c>
      <c r="Y136" s="7">
        <f t="shared" ca="1" si="80"/>
        <v>8.0680175532819587E-2</v>
      </c>
      <c r="Z136" s="7">
        <f t="shared" ca="1" si="81"/>
        <v>123.9461854657485</v>
      </c>
      <c r="AA136" s="17">
        <f t="shared" si="68"/>
        <v>1.1224489795918369</v>
      </c>
    </row>
    <row r="137" spans="1:27">
      <c r="A137" s="16"/>
      <c r="B137" s="51">
        <f t="shared" si="69"/>
        <v>2</v>
      </c>
      <c r="C137" s="117">
        <f t="shared" si="82"/>
        <v>6</v>
      </c>
      <c r="D137" s="34">
        <f t="shared" si="70"/>
        <v>18</v>
      </c>
      <c r="E137" s="34">
        <f t="shared" ca="1" si="59"/>
        <v>28</v>
      </c>
      <c r="F137" s="34">
        <f t="shared" ca="1" si="60"/>
        <v>8.978885937716262</v>
      </c>
      <c r="G137" s="34">
        <f t="shared" ca="1" si="61"/>
        <v>4.5002493855464571</v>
      </c>
      <c r="H137" s="34">
        <f t="shared" ca="1" si="62"/>
        <v>105.9569918176267</v>
      </c>
      <c r="I137" s="34">
        <f t="shared" ca="1" si="63"/>
        <v>89.227841990367878</v>
      </c>
      <c r="J137" s="34">
        <f t="shared" ca="1" si="83"/>
        <v>94.829893516643537</v>
      </c>
      <c r="K137" s="34">
        <f t="shared" ca="1" si="64"/>
        <v>1029.2831043178426</v>
      </c>
      <c r="L137" s="34">
        <f t="shared" ca="1" si="65"/>
        <v>990.442232456792</v>
      </c>
      <c r="M137" s="34">
        <f t="shared" ca="1" si="84"/>
        <v>1003.448784955744</v>
      </c>
      <c r="N137" s="34">
        <f t="shared" ca="1" si="71"/>
        <v>94.829893516643537</v>
      </c>
      <c r="O137" s="34">
        <f t="shared" ca="1" si="72"/>
        <v>1003.448784955744</v>
      </c>
      <c r="P137" s="7">
        <f t="shared" ca="1" si="73"/>
        <v>12.089744397057157</v>
      </c>
      <c r="Q137" s="7">
        <f t="shared" ca="1" si="74"/>
        <v>7.8438294807727038</v>
      </c>
      <c r="R137" s="7">
        <f t="shared" ca="1" si="75"/>
        <v>8.2628294807727034</v>
      </c>
      <c r="S137" s="7">
        <f t="shared" ca="1" si="76"/>
        <v>14.072823472442606</v>
      </c>
      <c r="T137" s="7">
        <f t="shared" ca="1" si="77"/>
        <v>116.28134066580884</v>
      </c>
      <c r="U137" s="7">
        <f t="shared" ca="1" si="78"/>
        <v>0.81552115733842023</v>
      </c>
      <c r="V137" s="7">
        <f t="shared" ca="1" si="66"/>
        <v>0.90244643467583907</v>
      </c>
      <c r="W137" s="7">
        <f t="shared" ca="1" si="67"/>
        <v>94.829893516643537</v>
      </c>
      <c r="X137" s="7">
        <f t="shared" ca="1" si="79"/>
        <v>0.12654237556318554</v>
      </c>
      <c r="Y137" s="7">
        <f t="shared" ca="1" si="80"/>
        <v>9.2878186114477887E-2</v>
      </c>
      <c r="Z137" s="7">
        <f t="shared" ca="1" si="81"/>
        <v>129.20148962867648</v>
      </c>
      <c r="AA137" s="17">
        <f t="shared" si="68"/>
        <v>1.346938775510204</v>
      </c>
    </row>
    <row r="138" spans="1:27">
      <c r="A138" s="16"/>
      <c r="B138" s="51">
        <f t="shared" si="69"/>
        <v>2</v>
      </c>
      <c r="C138" s="117">
        <f t="shared" si="82"/>
        <v>7</v>
      </c>
      <c r="D138" s="34">
        <f t="shared" si="70"/>
        <v>18</v>
      </c>
      <c r="E138" s="34">
        <f t="shared" ca="1" si="59"/>
        <v>28</v>
      </c>
      <c r="F138" s="34">
        <f t="shared" ca="1" si="60"/>
        <v>8.978885937716262</v>
      </c>
      <c r="G138" s="34">
        <f t="shared" ca="1" si="61"/>
        <v>4.5002493855464571</v>
      </c>
      <c r="H138" s="34">
        <f t="shared" ca="1" si="62"/>
        <v>105.9569918176267</v>
      </c>
      <c r="I138" s="34">
        <f t="shared" ca="1" si="63"/>
        <v>89.227841990367878</v>
      </c>
      <c r="J138" s="34">
        <f t="shared" ca="1" si="83"/>
        <v>98.565215557712904</v>
      </c>
      <c r="K138" s="34">
        <f t="shared" ca="1" si="64"/>
        <v>1029.2831043178426</v>
      </c>
      <c r="L138" s="34">
        <f t="shared" ca="1" si="65"/>
        <v>990.442232456792</v>
      </c>
      <c r="M138" s="34">
        <f t="shared" ca="1" si="84"/>
        <v>1012.1212618152991</v>
      </c>
      <c r="N138" s="34">
        <f t="shared" ca="1" si="71"/>
        <v>98.565215557712904</v>
      </c>
      <c r="O138" s="34">
        <f t="shared" ca="1" si="72"/>
        <v>1012.1212618152991</v>
      </c>
      <c r="P138" s="7">
        <f t="shared" ca="1" si="73"/>
        <v>12.194232070063846</v>
      </c>
      <c r="Q138" s="7">
        <f t="shared" ca="1" si="74"/>
        <v>8.0829374897403312</v>
      </c>
      <c r="R138" s="7">
        <f t="shared" ca="1" si="75"/>
        <v>8.5019374897403317</v>
      </c>
      <c r="S138" s="7">
        <f t="shared" ca="1" si="76"/>
        <v>14.234697067601525</v>
      </c>
      <c r="T138" s="7">
        <f t="shared" ca="1" si="77"/>
        <v>121.02250465413817</v>
      </c>
      <c r="U138" s="7">
        <f t="shared" ca="1" si="78"/>
        <v>0.81443708208977827</v>
      </c>
      <c r="V138" s="7">
        <f t="shared" ca="1" si="66"/>
        <v>0.92995623339395428</v>
      </c>
      <c r="W138" s="7">
        <f t="shared" ca="1" si="67"/>
        <v>98.565215557712904</v>
      </c>
      <c r="X138" s="7">
        <f t="shared" ca="1" si="79"/>
        <v>0.14203793824001307</v>
      </c>
      <c r="Y138" s="7">
        <f t="shared" ca="1" si="80"/>
        <v>0.10411286756961993</v>
      </c>
      <c r="Z138" s="7">
        <f t="shared" ca="1" si="81"/>
        <v>134.46944961570907</v>
      </c>
      <c r="AA138" s="17">
        <f t="shared" si="68"/>
        <v>1.5714285714285714</v>
      </c>
    </row>
    <row r="139" spans="1:27">
      <c r="A139" s="16"/>
      <c r="B139" s="51">
        <f t="shared" si="69"/>
        <v>2</v>
      </c>
      <c r="C139" s="117">
        <f t="shared" si="82"/>
        <v>8</v>
      </c>
      <c r="D139" s="34">
        <f t="shared" si="70"/>
        <v>18</v>
      </c>
      <c r="E139" s="34">
        <f t="shared" ca="1" si="59"/>
        <v>28</v>
      </c>
      <c r="F139" s="34">
        <f t="shared" ca="1" si="60"/>
        <v>8.978885937716262</v>
      </c>
      <c r="G139" s="34">
        <f t="shared" ca="1" si="61"/>
        <v>4.5002493855464571</v>
      </c>
      <c r="H139" s="34">
        <f t="shared" ca="1" si="62"/>
        <v>105.9569918176267</v>
      </c>
      <c r="I139" s="34">
        <f t="shared" ca="1" si="63"/>
        <v>89.227841990367878</v>
      </c>
      <c r="J139" s="34">
        <f t="shared" ca="1" si="83"/>
        <v>102.30053759878228</v>
      </c>
      <c r="K139" s="34">
        <f t="shared" ca="1" si="64"/>
        <v>1029.2831043178426</v>
      </c>
      <c r="L139" s="34">
        <f t="shared" ca="1" si="65"/>
        <v>990.442232456792</v>
      </c>
      <c r="M139" s="34">
        <f t="shared" ca="1" si="84"/>
        <v>1020.7937386748544</v>
      </c>
      <c r="N139" s="34">
        <f t="shared" ca="1" si="71"/>
        <v>102.30053759878228</v>
      </c>
      <c r="O139" s="34">
        <f t="shared" ca="1" si="72"/>
        <v>1020.7937386748544</v>
      </c>
      <c r="P139" s="7">
        <f t="shared" ca="1" si="73"/>
        <v>12.298719743070535</v>
      </c>
      <c r="Q139" s="7">
        <f t="shared" ca="1" si="74"/>
        <v>8.317982662904523</v>
      </c>
      <c r="R139" s="7">
        <f t="shared" ca="1" si="75"/>
        <v>8.7369826629045235</v>
      </c>
      <c r="S139" s="7">
        <f t="shared" ca="1" si="76"/>
        <v>14.395595582167621</v>
      </c>
      <c r="T139" s="7">
        <f t="shared" ca="1" si="77"/>
        <v>125.77406902358345</v>
      </c>
      <c r="U139" s="7">
        <f t="shared" ca="1" si="78"/>
        <v>0.81336748022042826</v>
      </c>
      <c r="V139" s="7">
        <f t="shared" ca="1" si="66"/>
        <v>0.95699859567754819</v>
      </c>
      <c r="W139" s="7">
        <f t="shared" ca="1" si="67"/>
        <v>102.30053759878228</v>
      </c>
      <c r="X139" s="7">
        <f t="shared" ca="1" si="79"/>
        <v>0.15640191513705645</v>
      </c>
      <c r="Y139" s="7">
        <f t="shared" ca="1" si="80"/>
        <v>0.11449100845500917</v>
      </c>
      <c r="Z139" s="7">
        <f t="shared" ca="1" si="81"/>
        <v>139.74896558175939</v>
      </c>
      <c r="AA139" s="17">
        <f t="shared" si="68"/>
        <v>1.7959183673469388</v>
      </c>
    </row>
    <row r="140" spans="1:27">
      <c r="A140" s="16"/>
      <c r="B140" s="51">
        <f t="shared" si="69"/>
        <v>2</v>
      </c>
      <c r="C140" s="117">
        <f t="shared" si="82"/>
        <v>9</v>
      </c>
      <c r="D140" s="34">
        <f t="shared" si="70"/>
        <v>18</v>
      </c>
      <c r="E140" s="34">
        <f t="shared" ca="1" si="59"/>
        <v>27</v>
      </c>
      <c r="F140" s="34">
        <f t="shared" ca="1" si="60"/>
        <v>15.52720893960849</v>
      </c>
      <c r="G140" s="34">
        <f t="shared" ca="1" si="61"/>
        <v>8.978885937716262</v>
      </c>
      <c r="H140" s="34">
        <f t="shared" ca="1" si="62"/>
        <v>130.03081377997256</v>
      </c>
      <c r="I140" s="34">
        <f t="shared" ca="1" si="63"/>
        <v>105.9569918176267</v>
      </c>
      <c r="J140" s="34">
        <f t="shared" ca="1" si="83"/>
        <v>106.03461416096158</v>
      </c>
      <c r="K140" s="34">
        <f t="shared" ca="1" si="64"/>
        <v>1071.2946595961218</v>
      </c>
      <c r="L140" s="34">
        <f t="shared" ca="1" si="65"/>
        <v>1029.2831043178426</v>
      </c>
      <c r="M140" s="34">
        <f t="shared" ca="1" si="84"/>
        <v>1029.4185641286256</v>
      </c>
      <c r="N140" s="34">
        <f t="shared" ca="1" si="71"/>
        <v>106.03461416096158</v>
      </c>
      <c r="O140" s="34">
        <f t="shared" ca="1" si="72"/>
        <v>1029.4185641286256</v>
      </c>
      <c r="P140" s="7">
        <f t="shared" ca="1" si="73"/>
        <v>12.402633302754525</v>
      </c>
      <c r="Q140" s="7">
        <f t="shared" ca="1" si="74"/>
        <v>8.5493629919230258</v>
      </c>
      <c r="R140" s="7">
        <f t="shared" ca="1" si="75"/>
        <v>8.9683629919230263</v>
      </c>
      <c r="S140" s="7">
        <f t="shared" ca="1" si="76"/>
        <v>14.555040420816052</v>
      </c>
      <c r="T140" s="7">
        <f t="shared" ca="1" si="77"/>
        <v>130.53488585599044</v>
      </c>
      <c r="U140" s="7">
        <f t="shared" ca="1" si="78"/>
        <v>0.81230862895871214</v>
      </c>
      <c r="V140" s="7">
        <f t="shared" ca="1" si="66"/>
        <v>0.98361931116973389</v>
      </c>
      <c r="W140" s="7">
        <f t="shared" ca="1" si="67"/>
        <v>106.03461416096158</v>
      </c>
      <c r="X140" s="7">
        <f t="shared" ca="1" si="79"/>
        <v>0.16975588719242024</v>
      </c>
      <c r="Y140" s="7">
        <f t="shared" ca="1" si="80"/>
        <v>0.12410475478465022</v>
      </c>
      <c r="Z140" s="7">
        <f t="shared" ca="1" si="81"/>
        <v>145.03876206221159</v>
      </c>
      <c r="AA140" s="17">
        <f t="shared" si="68"/>
        <v>2.0204081632653059</v>
      </c>
    </row>
    <row r="141" spans="1:27">
      <c r="A141" s="16"/>
      <c r="B141" s="51">
        <f t="shared" si="69"/>
        <v>2</v>
      </c>
      <c r="C141" s="117">
        <f t="shared" si="82"/>
        <v>10</v>
      </c>
      <c r="D141" s="34">
        <f t="shared" si="70"/>
        <v>18</v>
      </c>
      <c r="E141" s="34">
        <f t="shared" ca="1" si="59"/>
        <v>27</v>
      </c>
      <c r="F141" s="34">
        <f t="shared" ca="1" si="60"/>
        <v>15.52720893960849</v>
      </c>
      <c r="G141" s="34">
        <f t="shared" ca="1" si="61"/>
        <v>8.978885937716262</v>
      </c>
      <c r="H141" s="34">
        <f t="shared" ca="1" si="62"/>
        <v>130.03081377997256</v>
      </c>
      <c r="I141" s="34">
        <f t="shared" ca="1" si="63"/>
        <v>105.9569918176267</v>
      </c>
      <c r="J141" s="34">
        <f t="shared" ca="1" si="83"/>
        <v>109.71094807964418</v>
      </c>
      <c r="K141" s="34">
        <f t="shared" ca="1" si="64"/>
        <v>1071.2946595961218</v>
      </c>
      <c r="L141" s="34">
        <f t="shared" ca="1" si="65"/>
        <v>1029.2831043178426</v>
      </c>
      <c r="M141" s="34">
        <f t="shared" ca="1" si="84"/>
        <v>1035.8341846265973</v>
      </c>
      <c r="N141" s="34">
        <f t="shared" ca="1" si="71"/>
        <v>109.71094807964418</v>
      </c>
      <c r="O141" s="34">
        <f t="shared" ca="1" si="72"/>
        <v>1035.8341846265973</v>
      </c>
      <c r="P141" s="7">
        <f t="shared" ca="1" si="73"/>
        <v>12.479929935260209</v>
      </c>
      <c r="Q141" s="7">
        <f t="shared" ca="1" si="74"/>
        <v>8.7909907065801711</v>
      </c>
      <c r="R141" s="7">
        <f t="shared" ca="1" si="75"/>
        <v>9.2099907065801716</v>
      </c>
      <c r="S141" s="7">
        <f t="shared" ca="1" si="76"/>
        <v>14.690327704839451</v>
      </c>
      <c r="T141" s="7">
        <f t="shared" ca="1" si="77"/>
        <v>135.29778163818855</v>
      </c>
      <c r="U141" s="7">
        <f t="shared" ca="1" si="78"/>
        <v>0.81088504742104106</v>
      </c>
      <c r="V141" s="7">
        <f t="shared" ca="1" si="66"/>
        <v>1.0114190064774564</v>
      </c>
      <c r="W141" s="7">
        <f t="shared" ca="1" si="67"/>
        <v>109.71094807964418</v>
      </c>
      <c r="X141" s="7">
        <f t="shared" ca="1" si="79"/>
        <v>0.18229721235734</v>
      </c>
      <c r="Y141" s="7">
        <f t="shared" ca="1" si="80"/>
        <v>0.13303987531839473</v>
      </c>
      <c r="Z141" s="7">
        <f t="shared" ca="1" si="81"/>
        <v>150.33086848687617</v>
      </c>
      <c r="AA141" s="17">
        <f t="shared" si="68"/>
        <v>2.2448979591836737</v>
      </c>
    </row>
    <row r="142" spans="1:27">
      <c r="A142" s="16"/>
      <c r="B142" s="51">
        <f t="shared" si="69"/>
        <v>2</v>
      </c>
      <c r="C142" s="117">
        <f t="shared" si="82"/>
        <v>11</v>
      </c>
      <c r="D142" s="34">
        <f t="shared" si="70"/>
        <v>18</v>
      </c>
      <c r="E142" s="34">
        <f t="shared" ca="1" si="59"/>
        <v>27</v>
      </c>
      <c r="F142" s="34">
        <f t="shared" ca="1" si="60"/>
        <v>15.52720893960849</v>
      </c>
      <c r="G142" s="34">
        <f t="shared" ca="1" si="61"/>
        <v>8.978885937716262</v>
      </c>
      <c r="H142" s="34">
        <f t="shared" ca="1" si="62"/>
        <v>130.03081377997256</v>
      </c>
      <c r="I142" s="34">
        <f t="shared" ca="1" si="63"/>
        <v>105.9569918176267</v>
      </c>
      <c r="J142" s="34">
        <f t="shared" ca="1" si="83"/>
        <v>113.38728199832678</v>
      </c>
      <c r="K142" s="34">
        <f t="shared" ca="1" si="64"/>
        <v>1071.2946595961218</v>
      </c>
      <c r="L142" s="34">
        <f t="shared" ca="1" si="65"/>
        <v>1029.2831043178426</v>
      </c>
      <c r="M142" s="34">
        <f t="shared" ca="1" si="84"/>
        <v>1042.2498051245689</v>
      </c>
      <c r="N142" s="34">
        <f t="shared" ca="1" si="71"/>
        <v>113.38728199832678</v>
      </c>
      <c r="O142" s="34">
        <f t="shared" ca="1" si="72"/>
        <v>1042.2498051245689</v>
      </c>
      <c r="P142" s="7">
        <f t="shared" ca="1" si="73"/>
        <v>12.557226567765889</v>
      </c>
      <c r="Q142" s="7">
        <f t="shared" ca="1" si="74"/>
        <v>9.0296437184138512</v>
      </c>
      <c r="R142" s="7">
        <f t="shared" ca="1" si="75"/>
        <v>9.4486437184138516</v>
      </c>
      <c r="S142" s="7">
        <f t="shared" ca="1" si="76"/>
        <v>14.824901060185214</v>
      </c>
      <c r="T142" s="7">
        <f t="shared" ca="1" si="77"/>
        <v>140.07520827842586</v>
      </c>
      <c r="U142" s="7">
        <f t="shared" ca="1" si="78"/>
        <v>0.80947430592391623</v>
      </c>
      <c r="V142" s="7">
        <f t="shared" ca="1" si="66"/>
        <v>1.0388764569717446</v>
      </c>
      <c r="W142" s="7">
        <f t="shared" ca="1" si="67"/>
        <v>113.38728199832678</v>
      </c>
      <c r="X142" s="7">
        <f t="shared" ca="1" si="79"/>
        <v>0.19402528760081439</v>
      </c>
      <c r="Y142" s="7">
        <f t="shared" ca="1" si="80"/>
        <v>0.1413526365111217</v>
      </c>
      <c r="Z142" s="7">
        <f t="shared" ca="1" si="81"/>
        <v>155.63912030936206</v>
      </c>
      <c r="AA142" s="17">
        <f t="shared" si="68"/>
        <v>2.4693877551020407</v>
      </c>
    </row>
    <row r="143" spans="1:27">
      <c r="A143" s="16"/>
      <c r="B143" s="51">
        <f t="shared" si="69"/>
        <v>2</v>
      </c>
      <c r="C143" s="117">
        <f t="shared" si="82"/>
        <v>12</v>
      </c>
      <c r="D143" s="34">
        <f t="shared" si="70"/>
        <v>18</v>
      </c>
      <c r="E143" s="34">
        <f t="shared" ca="1" si="59"/>
        <v>27</v>
      </c>
      <c r="F143" s="34">
        <f t="shared" ca="1" si="60"/>
        <v>15.52720893960849</v>
      </c>
      <c r="G143" s="34">
        <f t="shared" ca="1" si="61"/>
        <v>8.978885937716262</v>
      </c>
      <c r="H143" s="34">
        <f t="shared" ca="1" si="62"/>
        <v>130.03081377997256</v>
      </c>
      <c r="I143" s="34">
        <f t="shared" ca="1" si="63"/>
        <v>105.9569918176267</v>
      </c>
      <c r="J143" s="34">
        <f t="shared" ca="1" si="83"/>
        <v>117.06361591700939</v>
      </c>
      <c r="K143" s="34">
        <f t="shared" ca="1" si="64"/>
        <v>1071.2946595961218</v>
      </c>
      <c r="L143" s="34">
        <f t="shared" ca="1" si="65"/>
        <v>1029.2831043178426</v>
      </c>
      <c r="M143" s="34">
        <f t="shared" ca="1" si="84"/>
        <v>1048.6654256225406</v>
      </c>
      <c r="N143" s="34">
        <f t="shared" ca="1" si="71"/>
        <v>117.06361591700939</v>
      </c>
      <c r="O143" s="34">
        <f t="shared" ca="1" si="72"/>
        <v>1048.6654256225406</v>
      </c>
      <c r="P143" s="7">
        <f t="shared" ca="1" si="73"/>
        <v>12.634523200271573</v>
      </c>
      <c r="Q143" s="7">
        <f t="shared" ca="1" si="74"/>
        <v>9.2653766241446416</v>
      </c>
      <c r="R143" s="7">
        <f t="shared" ca="1" si="75"/>
        <v>9.6843766241446421</v>
      </c>
      <c r="S143" s="7">
        <f t="shared" ca="1" si="76"/>
        <v>14.958773590066286</v>
      </c>
      <c r="T143" s="7">
        <f t="shared" ca="1" si="77"/>
        <v>144.86639728151016</v>
      </c>
      <c r="U143" s="7">
        <f t="shared" ca="1" si="78"/>
        <v>0.80807984538696509</v>
      </c>
      <c r="V143" s="7">
        <f t="shared" ca="1" si="66"/>
        <v>1.0659979441017238</v>
      </c>
      <c r="W143" s="7">
        <f t="shared" ca="1" si="67"/>
        <v>117.06361591700939</v>
      </c>
      <c r="X143" s="7">
        <f t="shared" ca="1" si="79"/>
        <v>0.20501673224423944</v>
      </c>
      <c r="Y143" s="7">
        <f t="shared" ca="1" si="80"/>
        <v>0.14910290036429924</v>
      </c>
      <c r="Z143" s="7">
        <f t="shared" ca="1" si="81"/>
        <v>160.96266364612239</v>
      </c>
      <c r="AA143" s="17">
        <f t="shared" si="68"/>
        <v>2.693877551020408</v>
      </c>
    </row>
    <row r="144" spans="1:27">
      <c r="A144" s="16"/>
      <c r="B144" s="51">
        <f t="shared" si="69"/>
        <v>2</v>
      </c>
      <c r="C144" s="117">
        <f t="shared" si="82"/>
        <v>13</v>
      </c>
      <c r="D144" s="34">
        <f t="shared" si="70"/>
        <v>18</v>
      </c>
      <c r="E144" s="34">
        <f t="shared" ca="1" si="59"/>
        <v>27</v>
      </c>
      <c r="F144" s="34">
        <f t="shared" ca="1" si="60"/>
        <v>15.52720893960849</v>
      </c>
      <c r="G144" s="34">
        <f t="shared" ca="1" si="61"/>
        <v>8.978885937716262</v>
      </c>
      <c r="H144" s="34">
        <f t="shared" ca="1" si="62"/>
        <v>130.03081377997256</v>
      </c>
      <c r="I144" s="34">
        <f t="shared" ca="1" si="63"/>
        <v>105.9569918176267</v>
      </c>
      <c r="J144" s="34">
        <f t="shared" ca="1" si="83"/>
        <v>120.73994983569199</v>
      </c>
      <c r="K144" s="34">
        <f t="shared" ca="1" si="64"/>
        <v>1071.2946595961218</v>
      </c>
      <c r="L144" s="34">
        <f t="shared" ca="1" si="65"/>
        <v>1029.2831043178426</v>
      </c>
      <c r="M144" s="34">
        <f t="shared" ca="1" si="84"/>
        <v>1055.0810461205124</v>
      </c>
      <c r="N144" s="34">
        <f t="shared" ca="1" si="71"/>
        <v>120.73994983569199</v>
      </c>
      <c r="O144" s="34">
        <f t="shared" ca="1" si="72"/>
        <v>1055.0810461205124</v>
      </c>
      <c r="P144" s="7">
        <f t="shared" ca="1" si="73"/>
        <v>12.711819832777257</v>
      </c>
      <c r="Q144" s="7">
        <f t="shared" ca="1" si="74"/>
        <v>9.4982426925502548</v>
      </c>
      <c r="R144" s="7">
        <f t="shared" ca="1" si="75"/>
        <v>9.9172426925502553</v>
      </c>
      <c r="S144" s="7">
        <f t="shared" ca="1" si="76"/>
        <v>15.091958078989318</v>
      </c>
      <c r="T144" s="7">
        <f t="shared" ca="1" si="77"/>
        <v>149.67061097513161</v>
      </c>
      <c r="U144" s="7">
        <f t="shared" ca="1" si="78"/>
        <v>0.80670446288051456</v>
      </c>
      <c r="V144" s="7">
        <f t="shared" ca="1" si="66"/>
        <v>1.0927895965343468</v>
      </c>
      <c r="W144" s="7">
        <f t="shared" ca="1" si="67"/>
        <v>120.73994983569199</v>
      </c>
      <c r="X144" s="7">
        <f t="shared" ca="1" si="79"/>
        <v>0.21533883387712099</v>
      </c>
      <c r="Y144" s="7">
        <f t="shared" ca="1" si="80"/>
        <v>0.15634331848814331</v>
      </c>
      <c r="Z144" s="7">
        <f t="shared" ca="1" si="81"/>
        <v>166.30067886125735</v>
      </c>
      <c r="AA144" s="17">
        <f t="shared" si="68"/>
        <v>2.9183673469387754</v>
      </c>
    </row>
    <row r="145" spans="1:27">
      <c r="A145" s="16"/>
      <c r="B145" s="51">
        <f t="shared" si="69"/>
        <v>2</v>
      </c>
      <c r="C145" s="117">
        <f t="shared" si="82"/>
        <v>14</v>
      </c>
      <c r="D145" s="34">
        <f t="shared" si="70"/>
        <v>18</v>
      </c>
      <c r="E145" s="34">
        <f t="shared" ca="1" si="59"/>
        <v>27</v>
      </c>
      <c r="F145" s="34">
        <f t="shared" ca="1" si="60"/>
        <v>15.52720893960849</v>
      </c>
      <c r="G145" s="34">
        <f t="shared" ca="1" si="61"/>
        <v>8.978885937716262</v>
      </c>
      <c r="H145" s="34">
        <f t="shared" ca="1" si="62"/>
        <v>130.03081377997256</v>
      </c>
      <c r="I145" s="34">
        <f t="shared" ca="1" si="63"/>
        <v>105.9569918176267</v>
      </c>
      <c r="J145" s="34">
        <f t="shared" ca="1" si="83"/>
        <v>124.41628375437458</v>
      </c>
      <c r="K145" s="34">
        <f t="shared" ca="1" si="64"/>
        <v>1071.2946595961218</v>
      </c>
      <c r="L145" s="34">
        <f t="shared" ca="1" si="65"/>
        <v>1029.2831043178426</v>
      </c>
      <c r="M145" s="34">
        <f t="shared" ca="1" si="84"/>
        <v>1061.4966666184839</v>
      </c>
      <c r="N145" s="34">
        <f t="shared" ca="1" si="71"/>
        <v>124.41628375437458</v>
      </c>
      <c r="O145" s="34">
        <f t="shared" ca="1" si="72"/>
        <v>1061.4966666184839</v>
      </c>
      <c r="P145" s="7">
        <f t="shared" ca="1" si="73"/>
        <v>12.789116465282939</v>
      </c>
      <c r="Q145" s="7">
        <f t="shared" ca="1" si="74"/>
        <v>9.7282939045955477</v>
      </c>
      <c r="R145" s="7">
        <f t="shared" ca="1" si="75"/>
        <v>10.147293904595548</v>
      </c>
      <c r="S145" s="7">
        <f t="shared" ca="1" si="76"/>
        <v>15.224467002385872</v>
      </c>
      <c r="T145" s="7">
        <f t="shared" ca="1" si="77"/>
        <v>154.48714121402622</v>
      </c>
      <c r="U145" s="7">
        <f t="shared" ca="1" si="78"/>
        <v>0.80535041801316309</v>
      </c>
      <c r="V145" s="7">
        <f t="shared" ca="1" si="66"/>
        <v>1.1192573947714242</v>
      </c>
      <c r="W145" s="7">
        <f t="shared" ca="1" si="67"/>
        <v>124.41628375437458</v>
      </c>
      <c r="X145" s="7">
        <f t="shared" ca="1" si="79"/>
        <v>0.2250509270577333</v>
      </c>
      <c r="Y145" s="7">
        <f t="shared" ca="1" si="80"/>
        <v>0.16312037236217586</v>
      </c>
      <c r="Z145" s="7">
        <f t="shared" ca="1" si="81"/>
        <v>171.65237912669579</v>
      </c>
      <c r="AA145" s="17">
        <f t="shared" si="68"/>
        <v>3.1428571428571428</v>
      </c>
    </row>
    <row r="146" spans="1:27">
      <c r="A146" s="16"/>
      <c r="B146" s="51">
        <f t="shared" si="69"/>
        <v>2</v>
      </c>
      <c r="C146" s="117">
        <f t="shared" si="82"/>
        <v>15</v>
      </c>
      <c r="D146" s="34">
        <f t="shared" si="70"/>
        <v>18</v>
      </c>
      <c r="E146" s="34">
        <f t="shared" ca="1" si="59"/>
        <v>27</v>
      </c>
      <c r="F146" s="34">
        <f t="shared" ca="1" si="60"/>
        <v>15.52720893960849</v>
      </c>
      <c r="G146" s="34">
        <f t="shared" ca="1" si="61"/>
        <v>8.978885937716262</v>
      </c>
      <c r="H146" s="34">
        <f t="shared" ca="1" si="62"/>
        <v>130.03081377997256</v>
      </c>
      <c r="I146" s="34">
        <f t="shared" ca="1" si="63"/>
        <v>105.9569918176267</v>
      </c>
      <c r="J146" s="34">
        <f t="shared" ca="1" si="83"/>
        <v>128.09261767305719</v>
      </c>
      <c r="K146" s="34">
        <f t="shared" ca="1" si="64"/>
        <v>1071.2946595961218</v>
      </c>
      <c r="L146" s="34">
        <f t="shared" ca="1" si="65"/>
        <v>1029.2831043178426</v>
      </c>
      <c r="M146" s="34">
        <f t="shared" ca="1" si="84"/>
        <v>1067.9122871164557</v>
      </c>
      <c r="N146" s="34">
        <f t="shared" ca="1" si="71"/>
        <v>128.09261767305719</v>
      </c>
      <c r="O146" s="34">
        <f t="shared" ca="1" si="72"/>
        <v>1067.9122871164557</v>
      </c>
      <c r="P146" s="7">
        <f t="shared" ca="1" si="73"/>
        <v>12.866413097788623</v>
      </c>
      <c r="Q146" s="7">
        <f t="shared" ca="1" si="74"/>
        <v>9.9555809921160332</v>
      </c>
      <c r="R146" s="7">
        <f t="shared" ca="1" si="75"/>
        <v>10.374580992116034</v>
      </c>
      <c r="S146" s="7">
        <f t="shared" ca="1" si="76"/>
        <v>15.356312535896471</v>
      </c>
      <c r="T146" s="7">
        <f t="shared" ca="1" si="77"/>
        <v>159.3153081439047</v>
      </c>
      <c r="U146" s="7">
        <f t="shared" ca="1" si="78"/>
        <v>0.80401952056832482</v>
      </c>
      <c r="V146" s="7">
        <f t="shared" ca="1" si="66"/>
        <v>1.1454071756002282</v>
      </c>
      <c r="W146" s="7">
        <f t="shared" ca="1" si="67"/>
        <v>128.09261767305719</v>
      </c>
      <c r="X146" s="7">
        <f t="shared" ca="1" si="79"/>
        <v>0.23420553459662927</v>
      </c>
      <c r="Y146" s="7">
        <f t="shared" ca="1" si="80"/>
        <v>0.16947523947674706</v>
      </c>
      <c r="Z146" s="7">
        <f t="shared" ca="1" si="81"/>
        <v>177.017009048783</v>
      </c>
      <c r="AA146" s="17">
        <f t="shared" si="68"/>
        <v>3.3673469387755102</v>
      </c>
    </row>
    <row r="147" spans="1:27" ht="15.75" thickBot="1">
      <c r="A147" s="18"/>
      <c r="B147" s="52">
        <f t="shared" si="69"/>
        <v>2</v>
      </c>
      <c r="C147" s="118">
        <f t="shared" si="82"/>
        <v>16</v>
      </c>
      <c r="D147" s="40">
        <f t="shared" si="70"/>
        <v>18</v>
      </c>
      <c r="E147" s="40">
        <f t="shared" ca="1" si="59"/>
        <v>26</v>
      </c>
      <c r="F147" s="40">
        <f t="shared" ca="1" si="60"/>
        <v>22.308400307831597</v>
      </c>
      <c r="G147" s="40">
        <f t="shared" ca="1" si="61"/>
        <v>15.52720893960849</v>
      </c>
      <c r="H147" s="40">
        <f t="shared" ca="1" si="62"/>
        <v>156.42708078942044</v>
      </c>
      <c r="I147" s="40">
        <f t="shared" ca="1" si="63"/>
        <v>130.03081377997256</v>
      </c>
      <c r="J147" s="40">
        <f t="shared" ca="1" si="83"/>
        <v>131.87118642131338</v>
      </c>
      <c r="K147" s="40">
        <f t="shared" ca="1" si="64"/>
        <v>1116.8816663874463</v>
      </c>
      <c r="L147" s="40">
        <f t="shared" ca="1" si="65"/>
        <v>1071.2946595961218</v>
      </c>
      <c r="M147" s="40">
        <f t="shared" ca="1" si="84"/>
        <v>1074.4730287219284</v>
      </c>
      <c r="N147" s="40">
        <f t="shared" ca="1" si="71"/>
        <v>131.87118642131338</v>
      </c>
      <c r="O147" s="40">
        <f t="shared" ca="1" si="72"/>
        <v>1074.4730287219284</v>
      </c>
      <c r="P147" s="19">
        <f t="shared" ca="1" si="73"/>
        <v>12.945458177372631</v>
      </c>
      <c r="Q147" s="19">
        <f t="shared" ca="1" si="74"/>
        <v>10.186675868437863</v>
      </c>
      <c r="R147" s="19">
        <f t="shared" ca="1" si="75"/>
        <v>10.605675868437864</v>
      </c>
      <c r="S147" s="19">
        <f t="shared" ca="1" si="76"/>
        <v>15.490820385797718</v>
      </c>
      <c r="T147" s="19">
        <f t="shared" ca="1" si="77"/>
        <v>164.29061994796018</v>
      </c>
      <c r="U147" s="19">
        <f t="shared" ca="1" si="78"/>
        <v>0.80267021004050132</v>
      </c>
      <c r="V147" s="19">
        <f t="shared" ca="1" si="66"/>
        <v>1.1719950492555264</v>
      </c>
      <c r="W147" s="19">
        <f t="shared" ca="1" si="67"/>
        <v>131.87118642131338</v>
      </c>
      <c r="X147" s="19">
        <f t="shared" ca="1" si="79"/>
        <v>0.24266104574022451</v>
      </c>
      <c r="Y147" s="19">
        <f t="shared" ca="1" si="80"/>
        <v>0.17529911329765835</v>
      </c>
      <c r="Z147" s="19">
        <f t="shared" ca="1" si="81"/>
        <v>182.54513327551132</v>
      </c>
      <c r="AA147" s="20">
        <f t="shared" si="68"/>
        <v>3.5918367346938775</v>
      </c>
    </row>
    <row r="148" spans="1:27" s="11" customFormat="1">
      <c r="A148" s="100" t="str">
        <f>_xlfn.CONCAT("v = ", TEXT(B148,"0.0"), " m/s")</f>
        <v>v = 2.5 m/s</v>
      </c>
      <c r="B148" s="53">
        <f>$B$11</f>
        <v>2.5</v>
      </c>
      <c r="C148" s="41">
        <f>C132</f>
        <v>1</v>
      </c>
      <c r="D148" s="41">
        <f>COLUMN($U$34)</f>
        <v>21</v>
      </c>
      <c r="E148" s="41">
        <f t="shared" ca="1" si="59"/>
        <v>29</v>
      </c>
      <c r="F148" s="41">
        <f t="shared" ca="1" si="60"/>
        <v>7.0316396649163382</v>
      </c>
      <c r="G148" s="41">
        <f t="shared" ca="1" si="61"/>
        <v>0.11067026652892563</v>
      </c>
      <c r="H148" s="41">
        <f t="shared" ca="1" si="62"/>
        <v>174.27312888743722</v>
      </c>
      <c r="I148" s="41">
        <f t="shared" ca="1" si="63"/>
        <v>144.87743981968441</v>
      </c>
      <c r="J148" s="41">
        <f ca="1">H148+ (H148-I148)/(F148-G148)*(C148-F148)</f>
        <v>148.65472285895265</v>
      </c>
      <c r="K148" s="41">
        <f t="shared" ca="1" si="64"/>
        <v>1238.0527905709898</v>
      </c>
      <c r="L148" s="41">
        <f t="shared" ca="1" si="65"/>
        <v>1193.0326890956812</v>
      </c>
      <c r="M148" s="41">
        <f ca="1">K148+ (K148-L148)/(F148-G148)*(C148-F148)</f>
        <v>1198.8176756403705</v>
      </c>
      <c r="N148" s="41">
        <f t="shared" ca="1" si="71"/>
        <v>148.65472285895265</v>
      </c>
      <c r="O148" s="41">
        <f t="shared" ca="1" si="72"/>
        <v>1198.8176756403705</v>
      </c>
      <c r="P148" s="42">
        <f t="shared" ca="1" si="73"/>
        <v>14.443586453498439</v>
      </c>
      <c r="Q148" s="42">
        <f t="shared" ca="1" si="74"/>
        <v>10.292092157135002</v>
      </c>
      <c r="R148" s="42">
        <f t="shared" ca="1" si="75"/>
        <v>10.711092157135003</v>
      </c>
      <c r="S148" s="42">
        <f t="shared" ca="1" si="76"/>
        <v>17.014248571210839</v>
      </c>
      <c r="T148" s="42">
        <f ca="1">R148*S148</f>
        <v>182.24118443064185</v>
      </c>
      <c r="U148" s="42">
        <f t="shared" ca="1" si="78"/>
        <v>0.81570323043816872</v>
      </c>
      <c r="V148" s="42">
        <f t="shared" ca="1" si="66"/>
        <v>1.1841233794448411</v>
      </c>
      <c r="W148" s="42">
        <f t="shared" ca="1" si="67"/>
        <v>148.65472285895265</v>
      </c>
      <c r="X148" s="42">
        <f t="shared" ca="1" si="79"/>
        <v>1.6817494607097434E-2</v>
      </c>
      <c r="Y148" s="42">
        <f t="shared" ca="1" si="80"/>
        <v>1.2346276210997272E-2</v>
      </c>
      <c r="Z148" s="42">
        <f t="shared" ca="1" si="81"/>
        <v>202.49020492293539</v>
      </c>
      <c r="AA148" s="43">
        <f t="shared" si="68"/>
        <v>0.22448979591836735</v>
      </c>
    </row>
    <row r="149" spans="1:27" s="11" customFormat="1">
      <c r="A149" s="44"/>
      <c r="B149" s="54">
        <f t="shared" ref="B149:B163" si="85">$B$11</f>
        <v>2.5</v>
      </c>
      <c r="C149" s="36">
        <f>C133</f>
        <v>2</v>
      </c>
      <c r="D149" s="38">
        <f t="shared" ref="D149:D163" si="86">COLUMN($U$34)</f>
        <v>21</v>
      </c>
      <c r="E149" s="36">
        <f t="shared" ca="1" si="59"/>
        <v>29</v>
      </c>
      <c r="F149" s="36">
        <f t="shared" ca="1" si="60"/>
        <v>7.0316396649163382</v>
      </c>
      <c r="G149" s="36">
        <f t="shared" ca="1" si="61"/>
        <v>0.11067026652892563</v>
      </c>
      <c r="H149" s="36">
        <f t="shared" ca="1" si="62"/>
        <v>174.27312888743722</v>
      </c>
      <c r="I149" s="36">
        <f t="shared" ca="1" si="63"/>
        <v>144.87743981968441</v>
      </c>
      <c r="J149" s="36">
        <f ca="1">H149+ (H149-I149)/(F149-G149)*(C149-F149)</f>
        <v>152.90205981071</v>
      </c>
      <c r="K149" s="36">
        <f t="shared" ca="1" si="64"/>
        <v>1238.0527905709898</v>
      </c>
      <c r="L149" s="36">
        <f t="shared" ca="1" si="65"/>
        <v>1193.0326890956812</v>
      </c>
      <c r="M149" s="36">
        <f ca="1">K149+ (K149-L149)/(F149-G149)*(C149-F149)</f>
        <v>1205.3225594050348</v>
      </c>
      <c r="N149" s="36">
        <f t="shared" ca="1" si="71"/>
        <v>152.90205981071</v>
      </c>
      <c r="O149" s="36">
        <f t="shared" ca="1" si="72"/>
        <v>1205.3225594050348</v>
      </c>
      <c r="P149" s="35">
        <f t="shared" ca="1" si="73"/>
        <v>14.521958547048612</v>
      </c>
      <c r="Q149" s="35">
        <f t="shared" ca="1" si="74"/>
        <v>10.529024670834447</v>
      </c>
      <c r="R149" s="35">
        <f t="shared" ca="1" si="75"/>
        <v>10.948024670834448</v>
      </c>
      <c r="S149" s="35">
        <f t="shared" ca="1" si="76"/>
        <v>17.149484468048879</v>
      </c>
      <c r="T149" s="35">
        <f t="shared" ref="T149:T163" ca="1" si="87">R149*S149</f>
        <v>187.75297904829131</v>
      </c>
      <c r="U149" s="35">
        <f t="shared" ca="1" si="78"/>
        <v>0.81437887476279447</v>
      </c>
      <c r="V149" s="35">
        <f t="shared" ca="1" si="66"/>
        <v>1.2113828835902305</v>
      </c>
      <c r="W149" s="35">
        <f t="shared" ca="1" si="67"/>
        <v>152.90205981071</v>
      </c>
      <c r="X149" s="35">
        <f t="shared" ca="1" si="79"/>
        <v>3.2700671306782329E-2</v>
      </c>
      <c r="Y149" s="35">
        <f t="shared" ca="1" si="80"/>
        <v>2.3967662312524854E-2</v>
      </c>
      <c r="Z149" s="35">
        <f t="shared" ca="1" si="81"/>
        <v>208.61442116476812</v>
      </c>
      <c r="AA149" s="45">
        <f t="shared" si="68"/>
        <v>0.44897959183673469</v>
      </c>
    </row>
    <row r="150" spans="1:27" s="11" customFormat="1">
      <c r="A150" s="44"/>
      <c r="B150" s="54">
        <f t="shared" si="85"/>
        <v>2.5</v>
      </c>
      <c r="C150" s="36">
        <f t="shared" ref="C150:C163" si="88">C134</f>
        <v>3</v>
      </c>
      <c r="D150" s="36">
        <f t="shared" si="86"/>
        <v>21</v>
      </c>
      <c r="E150" s="36">
        <f t="shared" ca="1" si="59"/>
        <v>29</v>
      </c>
      <c r="F150" s="36">
        <f t="shared" ca="1" si="60"/>
        <v>7.0316396649163382</v>
      </c>
      <c r="G150" s="36">
        <f t="shared" ca="1" si="61"/>
        <v>0.11067026652892563</v>
      </c>
      <c r="H150" s="36">
        <f t="shared" ca="1" si="62"/>
        <v>174.27312888743722</v>
      </c>
      <c r="I150" s="36">
        <f t="shared" ca="1" si="63"/>
        <v>144.87743981968441</v>
      </c>
      <c r="J150" s="36">
        <f ca="1">H150+ (H150-I150)/(F150-G150)*(C150-F150)</f>
        <v>157.14939676246738</v>
      </c>
      <c r="K150" s="36">
        <f t="shared" ca="1" si="64"/>
        <v>1238.0527905709898</v>
      </c>
      <c r="L150" s="36">
        <f t="shared" ca="1" si="65"/>
        <v>1193.0326890956812</v>
      </c>
      <c r="M150" s="36">
        <f ca="1">K150+ (K150-L150)/(F150-G150)*(C150-F150)</f>
        <v>1211.8274431696991</v>
      </c>
      <c r="N150" s="36">
        <f t="shared" ca="1" si="71"/>
        <v>157.14939676246738</v>
      </c>
      <c r="O150" s="36">
        <f t="shared" ca="1" si="72"/>
        <v>1211.8274431696991</v>
      </c>
      <c r="P150" s="35">
        <f t="shared" ca="1" si="73"/>
        <v>14.600330640598784</v>
      </c>
      <c r="Q150" s="35">
        <f t="shared" ca="1" si="74"/>
        <v>10.763413557600256</v>
      </c>
      <c r="R150" s="35">
        <f t="shared" ca="1" si="75"/>
        <v>11.182413557600256</v>
      </c>
      <c r="S150" s="35">
        <f t="shared" ca="1" si="76"/>
        <v>17.284109894422844</v>
      </c>
      <c r="T150" s="35">
        <f t="shared" ca="1" si="87"/>
        <v>193.27806481444674</v>
      </c>
      <c r="U150" s="35">
        <f t="shared" ca="1" si="78"/>
        <v>0.81307414223820973</v>
      </c>
      <c r="V150" s="35">
        <f t="shared" ca="1" si="66"/>
        <v>1.238349738964629</v>
      </c>
      <c r="W150" s="35">
        <f t="shared" ca="1" si="67"/>
        <v>157.14939676246738</v>
      </c>
      <c r="X150" s="35">
        <f t="shared" ca="1" si="79"/>
        <v>4.7725286603144346E-2</v>
      </c>
      <c r="Y150" s="35">
        <f t="shared" ca="1" si="80"/>
        <v>3.4923776821131881E-2</v>
      </c>
      <c r="Z150" s="35">
        <f t="shared" ca="1" si="81"/>
        <v>214.75340534938525</v>
      </c>
      <c r="AA150" s="45">
        <f t="shared" si="68"/>
        <v>0.67346938775510201</v>
      </c>
    </row>
    <row r="151" spans="1:27" s="11" customFormat="1">
      <c r="A151" s="44"/>
      <c r="B151" s="54">
        <f t="shared" si="85"/>
        <v>2.5</v>
      </c>
      <c r="C151" s="36">
        <f t="shared" si="88"/>
        <v>4</v>
      </c>
      <c r="D151" s="36">
        <f t="shared" si="86"/>
        <v>21</v>
      </c>
      <c r="E151" s="36">
        <f t="shared" ca="1" si="59"/>
        <v>29</v>
      </c>
      <c r="F151" s="36">
        <f t="shared" ca="1" si="60"/>
        <v>7.0316396649163382</v>
      </c>
      <c r="G151" s="36">
        <f t="shared" ca="1" si="61"/>
        <v>0.11067026652892563</v>
      </c>
      <c r="H151" s="36">
        <f t="shared" ca="1" si="62"/>
        <v>174.27312888743722</v>
      </c>
      <c r="I151" s="36">
        <f t="shared" ca="1" si="63"/>
        <v>144.87743981968441</v>
      </c>
      <c r="J151" s="36">
        <f ca="1">H151+ (H151-I151)/(F151-G151)*(C151-F151)</f>
        <v>161.39673371422475</v>
      </c>
      <c r="K151" s="36">
        <f t="shared" ca="1" si="64"/>
        <v>1238.0527905709898</v>
      </c>
      <c r="L151" s="36">
        <f t="shared" ca="1" si="65"/>
        <v>1193.0326890956812</v>
      </c>
      <c r="M151" s="36">
        <f ca="1">K151+ (K151-L151)/(F151-G151)*(C151-F151)</f>
        <v>1218.3323269343632</v>
      </c>
      <c r="N151" s="36">
        <f t="shared" ca="1" si="71"/>
        <v>161.39673371422475</v>
      </c>
      <c r="O151" s="36">
        <f t="shared" ca="1" si="72"/>
        <v>1218.3323269343632</v>
      </c>
      <c r="P151" s="35">
        <f t="shared" ca="1" si="73"/>
        <v>14.678702734148954</v>
      </c>
      <c r="Q151" s="35">
        <f t="shared" ca="1" si="74"/>
        <v>10.995299560004494</v>
      </c>
      <c r="R151" s="35">
        <f t="shared" ca="1" si="75"/>
        <v>11.414299560004494</v>
      </c>
      <c r="S151" s="35">
        <f t="shared" ca="1" si="76"/>
        <v>17.418134628550032</v>
      </c>
      <c r="T151" s="35">
        <f t="shared" ca="1" si="87"/>
        <v>198.81580642675766</v>
      </c>
      <c r="U151" s="35">
        <f t="shared" ca="1" si="78"/>
        <v>0.8117902525706987</v>
      </c>
      <c r="V151" s="35">
        <f t="shared" ca="1" si="66"/>
        <v>1.2650286330729086</v>
      </c>
      <c r="W151" s="35">
        <f t="shared" ca="1" si="67"/>
        <v>161.39673371422475</v>
      </c>
      <c r="X151" s="35">
        <f t="shared" ca="1" si="79"/>
        <v>6.1959122529123688E-2</v>
      </c>
      <c r="Y151" s="35">
        <f t="shared" ca="1" si="80"/>
        <v>4.5268030554278568E-2</v>
      </c>
      <c r="Z151" s="35">
        <f t="shared" ca="1" si="81"/>
        <v>220.90645158528628</v>
      </c>
      <c r="AA151" s="45">
        <f t="shared" si="68"/>
        <v>0.89795918367346939</v>
      </c>
    </row>
    <row r="152" spans="1:27" s="11" customFormat="1">
      <c r="A152" s="44"/>
      <c r="B152" s="54">
        <f t="shared" si="85"/>
        <v>2.5</v>
      </c>
      <c r="C152" s="36">
        <f t="shared" si="88"/>
        <v>5</v>
      </c>
      <c r="D152" s="36">
        <f t="shared" si="86"/>
        <v>21</v>
      </c>
      <c r="E152" s="36">
        <f t="shared" ca="1" si="59"/>
        <v>29</v>
      </c>
      <c r="F152" s="36">
        <f t="shared" ca="1" si="60"/>
        <v>7.0316396649163382</v>
      </c>
      <c r="G152" s="36">
        <f t="shared" ca="1" si="61"/>
        <v>0.11067026652892563</v>
      </c>
      <c r="H152" s="36">
        <f t="shared" ca="1" si="62"/>
        <v>174.27312888743722</v>
      </c>
      <c r="I152" s="36">
        <f t="shared" ca="1" si="63"/>
        <v>144.87743981968441</v>
      </c>
      <c r="J152" s="36">
        <f t="shared" ref="J152:J163" ca="1" si="89">H152+ (H152-I152)/(F152-G152)*(C152-F152)</f>
        <v>165.6440706659821</v>
      </c>
      <c r="K152" s="36">
        <f t="shared" ca="1" si="64"/>
        <v>1238.0527905709898</v>
      </c>
      <c r="L152" s="36">
        <f t="shared" ca="1" si="65"/>
        <v>1193.0326890956812</v>
      </c>
      <c r="M152" s="36">
        <f t="shared" ref="M152:M163" ca="1" si="90">K152+ (K152-L152)/(F152-G152)*(C152-F152)</f>
        <v>1224.8372106990275</v>
      </c>
      <c r="N152" s="36">
        <f t="shared" ca="1" si="71"/>
        <v>165.6440706659821</v>
      </c>
      <c r="O152" s="36">
        <f t="shared" ca="1" si="72"/>
        <v>1224.8372106990275</v>
      </c>
      <c r="P152" s="35">
        <f t="shared" ca="1" si="73"/>
        <v>14.757074827699126</v>
      </c>
      <c r="Q152" s="35">
        <f t="shared" ca="1" si="74"/>
        <v>11.22472255511418</v>
      </c>
      <c r="R152" s="35">
        <f t="shared" ca="1" si="75"/>
        <v>11.643722555114181</v>
      </c>
      <c r="S152" s="35">
        <f t="shared" ca="1" si="76"/>
        <v>17.551568240926528</v>
      </c>
      <c r="T152" s="35">
        <f t="shared" ca="1" si="87"/>
        <v>204.36559100450194</v>
      </c>
      <c r="U152" s="35">
        <f t="shared" ca="1" si="78"/>
        <v>0.81052818065803045</v>
      </c>
      <c r="V152" s="35">
        <f t="shared" ca="1" si="66"/>
        <v>1.2914241538420563</v>
      </c>
      <c r="W152" s="35">
        <f t="shared" ca="1" si="67"/>
        <v>165.6440706659821</v>
      </c>
      <c r="X152" s="35">
        <f t="shared" ca="1" si="79"/>
        <v>7.5463009027386174E-2</v>
      </c>
      <c r="Y152" s="35">
        <f t="shared" ca="1" si="80"/>
        <v>5.5048405872553059E-2</v>
      </c>
      <c r="Z152" s="35">
        <f t="shared" ca="1" si="81"/>
        <v>227.07287889389104</v>
      </c>
      <c r="AA152" s="45">
        <f t="shared" si="68"/>
        <v>1.1224489795918369</v>
      </c>
    </row>
    <row r="153" spans="1:27" s="11" customFormat="1">
      <c r="A153" s="44"/>
      <c r="B153" s="54">
        <f t="shared" si="85"/>
        <v>2.5</v>
      </c>
      <c r="C153" s="36">
        <f t="shared" si="88"/>
        <v>6</v>
      </c>
      <c r="D153" s="36">
        <f t="shared" si="86"/>
        <v>21</v>
      </c>
      <c r="E153" s="36">
        <f t="shared" ca="1" si="59"/>
        <v>29</v>
      </c>
      <c r="F153" s="36">
        <f t="shared" ca="1" si="60"/>
        <v>7.0316396649163382</v>
      </c>
      <c r="G153" s="36">
        <f t="shared" ca="1" si="61"/>
        <v>0.11067026652892563</v>
      </c>
      <c r="H153" s="36">
        <f t="shared" ca="1" si="62"/>
        <v>174.27312888743722</v>
      </c>
      <c r="I153" s="36">
        <f t="shared" ca="1" si="63"/>
        <v>144.87743981968441</v>
      </c>
      <c r="J153" s="36">
        <f t="shared" ca="1" si="89"/>
        <v>169.89140761773947</v>
      </c>
      <c r="K153" s="36">
        <f t="shared" ca="1" si="64"/>
        <v>1238.0527905709898</v>
      </c>
      <c r="L153" s="36">
        <f t="shared" ca="1" si="65"/>
        <v>1193.0326890956812</v>
      </c>
      <c r="M153" s="36">
        <f t="shared" ca="1" si="90"/>
        <v>1231.3420944636919</v>
      </c>
      <c r="N153" s="36">
        <f t="shared" ca="1" si="71"/>
        <v>169.89140761773947</v>
      </c>
      <c r="O153" s="36">
        <f t="shared" ca="1" si="72"/>
        <v>1231.3420944636919</v>
      </c>
      <c r="P153" s="35">
        <f t="shared" ca="1" si="73"/>
        <v>14.8354469212493</v>
      </c>
      <c r="Q153" s="35">
        <f t="shared" ca="1" si="74"/>
        <v>11.451721577352577</v>
      </c>
      <c r="R153" s="35">
        <f t="shared" ca="1" si="75"/>
        <v>11.870721577352578</v>
      </c>
      <c r="S153" s="35">
        <f t="shared" ca="1" si="76"/>
        <v>17.68442009981392</v>
      </c>
      <c r="T153" s="35">
        <f t="shared" ca="1" si="87"/>
        <v>209.92682726182872</v>
      </c>
      <c r="U153" s="35">
        <f t="shared" ca="1" si="78"/>
        <v>0.80928869279696425</v>
      </c>
      <c r="V153" s="35">
        <f t="shared" ca="1" si="66"/>
        <v>1.3175407922514069</v>
      </c>
      <c r="W153" s="35">
        <f t="shared" ca="1" si="67"/>
        <v>169.89140761773947</v>
      </c>
      <c r="X153" s="35">
        <f t="shared" ca="1" si="79"/>
        <v>8.8291692972198035E-2</v>
      </c>
      <c r="Y153" s="35">
        <f t="shared" ca="1" si="80"/>
        <v>6.4308121911270957E-2</v>
      </c>
      <c r="Z153" s="35">
        <f t="shared" ca="1" si="81"/>
        <v>233.2520302909208</v>
      </c>
      <c r="AA153" s="45">
        <f t="shared" si="68"/>
        <v>1.346938775510204</v>
      </c>
    </row>
    <row r="154" spans="1:27" s="11" customFormat="1">
      <c r="A154" s="44"/>
      <c r="B154" s="54">
        <f t="shared" si="85"/>
        <v>2.5</v>
      </c>
      <c r="C154" s="36">
        <f t="shared" si="88"/>
        <v>7</v>
      </c>
      <c r="D154" s="36">
        <f t="shared" si="86"/>
        <v>21</v>
      </c>
      <c r="E154" s="36">
        <f t="shared" ca="1" si="59"/>
        <v>29</v>
      </c>
      <c r="F154" s="36">
        <f t="shared" ca="1" si="60"/>
        <v>7.0316396649163382</v>
      </c>
      <c r="G154" s="36">
        <f t="shared" ca="1" si="61"/>
        <v>0.11067026652892563</v>
      </c>
      <c r="H154" s="36">
        <f t="shared" ca="1" si="62"/>
        <v>174.27312888743722</v>
      </c>
      <c r="I154" s="36">
        <f t="shared" ca="1" si="63"/>
        <v>144.87743981968441</v>
      </c>
      <c r="J154" s="36">
        <f t="shared" ca="1" si="89"/>
        <v>174.13874456949685</v>
      </c>
      <c r="K154" s="36">
        <f t="shared" ca="1" si="64"/>
        <v>1238.0527905709898</v>
      </c>
      <c r="L154" s="36">
        <f t="shared" ca="1" si="65"/>
        <v>1193.0326890956812</v>
      </c>
      <c r="M154" s="36">
        <f t="shared" ca="1" si="90"/>
        <v>1237.8469782283562</v>
      </c>
      <c r="N154" s="36">
        <f t="shared" ca="1" si="71"/>
        <v>174.13874456949685</v>
      </c>
      <c r="O154" s="36">
        <f t="shared" ca="1" si="72"/>
        <v>1237.8469782283562</v>
      </c>
      <c r="P154" s="35">
        <f t="shared" ca="1" si="73"/>
        <v>14.913819014799472</v>
      </c>
      <c r="Q154" s="35">
        <f t="shared" ca="1" si="74"/>
        <v>11.676334840639628</v>
      </c>
      <c r="R154" s="35">
        <f t="shared" ca="1" si="75"/>
        <v>12.095334840639628</v>
      </c>
      <c r="S154" s="35">
        <f t="shared" ca="1" si="76"/>
        <v>17.816699376552982</v>
      </c>
      <c r="T154" s="35">
        <f t="shared" ca="1" si="87"/>
        <v>215.49894471442363</v>
      </c>
      <c r="U154" s="35">
        <f t="shared" ca="1" si="78"/>
        <v>0.80807237733931003</v>
      </c>
      <c r="V154" s="35">
        <f t="shared" ca="1" si="66"/>
        <v>1.3433829448799386</v>
      </c>
      <c r="W154" s="35">
        <f t="shared" ca="1" si="67"/>
        <v>174.13874456949685</v>
      </c>
      <c r="X154" s="35">
        <f t="shared" ca="1" si="79"/>
        <v>0.10049458001585594</v>
      </c>
      <c r="Y154" s="35">
        <f t="shared" ca="1" si="80"/>
        <v>7.3086204764815407E-2</v>
      </c>
      <c r="Z154" s="35">
        <f t="shared" ca="1" si="81"/>
        <v>239.44327190491515</v>
      </c>
      <c r="AA154" s="45">
        <f t="shared" si="68"/>
        <v>1.5714285714285714</v>
      </c>
    </row>
    <row r="155" spans="1:27" s="11" customFormat="1">
      <c r="A155" s="44"/>
      <c r="B155" s="54">
        <f t="shared" si="85"/>
        <v>2.5</v>
      </c>
      <c r="C155" s="36">
        <f t="shared" si="88"/>
        <v>8</v>
      </c>
      <c r="D155" s="36">
        <f t="shared" si="86"/>
        <v>21</v>
      </c>
      <c r="E155" s="36">
        <f t="shared" ca="1" si="59"/>
        <v>28</v>
      </c>
      <c r="F155" s="36">
        <f t="shared" ca="1" si="60"/>
        <v>14.029509277681665</v>
      </c>
      <c r="G155" s="36">
        <f t="shared" ca="1" si="61"/>
        <v>7.0316396649163382</v>
      </c>
      <c r="H155" s="36">
        <f t="shared" ca="1" si="62"/>
        <v>206.94724964380225</v>
      </c>
      <c r="I155" s="36">
        <f t="shared" ca="1" si="63"/>
        <v>174.27312888743722</v>
      </c>
      <c r="J155" s="36">
        <f t="shared" ca="1" si="89"/>
        <v>178.79455101660639</v>
      </c>
      <c r="K155" s="36">
        <f t="shared" ca="1" si="64"/>
        <v>1286.6038803973033</v>
      </c>
      <c r="L155" s="36">
        <f t="shared" ca="1" si="65"/>
        <v>1238.0527905709898</v>
      </c>
      <c r="M155" s="36">
        <f t="shared" ca="1" si="90"/>
        <v>1244.7712566491691</v>
      </c>
      <c r="N155" s="36">
        <f t="shared" ca="1" si="71"/>
        <v>178.79455101660639</v>
      </c>
      <c r="O155" s="36">
        <f t="shared" ca="1" si="72"/>
        <v>1244.7712566491691</v>
      </c>
      <c r="P155" s="35">
        <f t="shared" ca="1" si="73"/>
        <v>14.997244056014086</v>
      </c>
      <c r="Q155" s="35">
        <f t="shared" ca="1" si="74"/>
        <v>11.921827126958537</v>
      </c>
      <c r="R155" s="35">
        <f t="shared" ca="1" si="75"/>
        <v>12.340827126958537</v>
      </c>
      <c r="S155" s="35">
        <f t="shared" ca="1" si="76"/>
        <v>17.959042566484136</v>
      </c>
      <c r="T155" s="35">
        <f t="shared" ca="1" si="87"/>
        <v>221.62943967867048</v>
      </c>
      <c r="U155" s="35">
        <f t="shared" ca="1" si="78"/>
        <v>0.80672744232820215</v>
      </c>
      <c r="V155" s="35">
        <f t="shared" ca="1" si="66"/>
        <v>1.3716272659825302</v>
      </c>
      <c r="W155" s="35">
        <f t="shared" ca="1" si="67"/>
        <v>178.79455101660639</v>
      </c>
      <c r="X155" s="35">
        <f t="shared" ca="1" si="79"/>
        <v>0.11186023224020068</v>
      </c>
      <c r="Y155" s="35">
        <f t="shared" ca="1" si="80"/>
        <v>8.1216647148038223E-2</v>
      </c>
      <c r="Z155" s="35">
        <f t="shared" ca="1" si="81"/>
        <v>246.25493297630052</v>
      </c>
      <c r="AA155" s="45">
        <f t="shared" si="68"/>
        <v>1.7959183673469388</v>
      </c>
    </row>
    <row r="156" spans="1:27" s="11" customFormat="1">
      <c r="A156" s="44"/>
      <c r="B156" s="54">
        <f t="shared" si="85"/>
        <v>2.5</v>
      </c>
      <c r="C156" s="36">
        <f t="shared" si="88"/>
        <v>9</v>
      </c>
      <c r="D156" s="36">
        <f t="shared" si="86"/>
        <v>21</v>
      </c>
      <c r="E156" s="36">
        <f t="shared" ca="1" si="59"/>
        <v>28</v>
      </c>
      <c r="F156" s="36">
        <f t="shared" ca="1" si="60"/>
        <v>14.029509277681665</v>
      </c>
      <c r="G156" s="36">
        <f t="shared" ca="1" si="61"/>
        <v>7.0316396649163382</v>
      </c>
      <c r="H156" s="36">
        <f t="shared" ca="1" si="62"/>
        <v>206.94724964380225</v>
      </c>
      <c r="I156" s="36">
        <f t="shared" ca="1" si="63"/>
        <v>174.27312888743722</v>
      </c>
      <c r="J156" s="36">
        <f t="shared" ca="1" si="89"/>
        <v>183.46370356794313</v>
      </c>
      <c r="K156" s="36">
        <f t="shared" ca="1" si="64"/>
        <v>1286.6038803973033</v>
      </c>
      <c r="L156" s="36">
        <f t="shared" ca="1" si="65"/>
        <v>1238.0527905709898</v>
      </c>
      <c r="M156" s="36">
        <f t="shared" ca="1" si="90"/>
        <v>1251.7092381368134</v>
      </c>
      <c r="N156" s="36">
        <f t="shared" ca="1" si="71"/>
        <v>183.46370356794313</v>
      </c>
      <c r="O156" s="36">
        <f t="shared" ca="1" si="72"/>
        <v>1251.7092381368134</v>
      </c>
      <c r="P156" s="35">
        <f t="shared" ca="1" si="73"/>
        <v>15.080834194419438</v>
      </c>
      <c r="Q156" s="35">
        <f t="shared" ca="1" si="74"/>
        <v>12.16535512576835</v>
      </c>
      <c r="R156" s="35">
        <f t="shared" ca="1" si="75"/>
        <v>12.584355125768351</v>
      </c>
      <c r="S156" s="35">
        <f t="shared" ca="1" si="76"/>
        <v>18.101079424603842</v>
      </c>
      <c r="T156" s="35">
        <f t="shared" ca="1" si="87"/>
        <v>227.7904116389534</v>
      </c>
      <c r="U156" s="35">
        <f t="shared" ca="1" si="78"/>
        <v>0.80540573348948563</v>
      </c>
      <c r="V156" s="35">
        <f t="shared" ca="1" si="66"/>
        <v>1.3996455923380906</v>
      </c>
      <c r="W156" s="35">
        <f t="shared" ca="1" si="67"/>
        <v>183.46370356794313</v>
      </c>
      <c r="X156" s="35">
        <f t="shared" ca="1" si="79"/>
        <v>0.12264006210725736</v>
      </c>
      <c r="Y156" s="35">
        <f t="shared" ca="1" si="80"/>
        <v>8.8897508259022526E-2</v>
      </c>
      <c r="Z156" s="35">
        <f t="shared" ca="1" si="81"/>
        <v>253.10045737661488</v>
      </c>
      <c r="AA156" s="45">
        <f t="shared" si="68"/>
        <v>2.0204081632653059</v>
      </c>
    </row>
    <row r="157" spans="1:27" s="11" customFormat="1">
      <c r="A157" s="44"/>
      <c r="B157" s="54">
        <f t="shared" si="85"/>
        <v>2.5</v>
      </c>
      <c r="C157" s="36">
        <f t="shared" si="88"/>
        <v>10</v>
      </c>
      <c r="D157" s="36">
        <f t="shared" si="86"/>
        <v>21</v>
      </c>
      <c r="E157" s="36">
        <f t="shared" ca="1" si="59"/>
        <v>28</v>
      </c>
      <c r="F157" s="36">
        <f t="shared" ca="1" si="60"/>
        <v>14.029509277681665</v>
      </c>
      <c r="G157" s="36">
        <f t="shared" ca="1" si="61"/>
        <v>7.0316396649163382</v>
      </c>
      <c r="H157" s="36">
        <f t="shared" ca="1" si="62"/>
        <v>206.94724964380225</v>
      </c>
      <c r="I157" s="36">
        <f t="shared" ca="1" si="63"/>
        <v>174.27312888743722</v>
      </c>
      <c r="J157" s="36">
        <f t="shared" ca="1" si="89"/>
        <v>188.13285611927986</v>
      </c>
      <c r="K157" s="36">
        <f t="shared" ca="1" si="64"/>
        <v>1286.6038803973033</v>
      </c>
      <c r="L157" s="36">
        <f t="shared" ca="1" si="65"/>
        <v>1238.0527905709898</v>
      </c>
      <c r="M157" s="36">
        <f t="shared" ca="1" si="90"/>
        <v>1258.6472196244574</v>
      </c>
      <c r="N157" s="36">
        <f t="shared" ca="1" si="71"/>
        <v>188.13285611927986</v>
      </c>
      <c r="O157" s="36">
        <f t="shared" ca="1" si="72"/>
        <v>1258.6472196244574</v>
      </c>
      <c r="P157" s="35">
        <f t="shared" ca="1" si="73"/>
        <v>15.164424332824789</v>
      </c>
      <c r="Q157" s="35">
        <f t="shared" ca="1" si="74"/>
        <v>12.406198348858455</v>
      </c>
      <c r="R157" s="35">
        <f t="shared" ca="1" si="75"/>
        <v>12.825198348858455</v>
      </c>
      <c r="S157" s="35">
        <f t="shared" ca="1" si="76"/>
        <v>18.242471936550817</v>
      </c>
      <c r="T157" s="35">
        <f t="shared" ca="1" si="87"/>
        <v>233.96332095974824</v>
      </c>
      <c r="U157" s="35">
        <f t="shared" ca="1" si="78"/>
        <v>0.80411260768369253</v>
      </c>
      <c r="V157" s="35">
        <f t="shared" ca="1" si="66"/>
        <v>1.4273550305055422</v>
      </c>
      <c r="W157" s="35">
        <f t="shared" ca="1" si="67"/>
        <v>188.13285611927986</v>
      </c>
      <c r="X157" s="35">
        <f t="shared" ca="1" si="79"/>
        <v>0.13288481616496331</v>
      </c>
      <c r="Y157" s="35">
        <f t="shared" ca="1" si="80"/>
        <v>9.6168920443179068E-2</v>
      </c>
      <c r="Z157" s="35">
        <f t="shared" ca="1" si="81"/>
        <v>259.95924551083135</v>
      </c>
      <c r="AA157" s="45">
        <f t="shared" si="68"/>
        <v>2.2448979591836737</v>
      </c>
    </row>
    <row r="158" spans="1:27" s="11" customFormat="1">
      <c r="A158" s="44"/>
      <c r="B158" s="54">
        <f t="shared" si="85"/>
        <v>2.5</v>
      </c>
      <c r="C158" s="36">
        <f t="shared" si="88"/>
        <v>11</v>
      </c>
      <c r="D158" s="36">
        <f t="shared" si="86"/>
        <v>21</v>
      </c>
      <c r="E158" s="36">
        <f t="shared" ca="1" si="59"/>
        <v>28</v>
      </c>
      <c r="F158" s="36">
        <f t="shared" ca="1" si="60"/>
        <v>14.029509277681665</v>
      </c>
      <c r="G158" s="36">
        <f t="shared" ca="1" si="61"/>
        <v>7.0316396649163382</v>
      </c>
      <c r="H158" s="36">
        <f t="shared" ca="1" si="62"/>
        <v>206.94724964380225</v>
      </c>
      <c r="I158" s="36">
        <f t="shared" ca="1" si="63"/>
        <v>174.27312888743722</v>
      </c>
      <c r="J158" s="36">
        <f t="shared" ca="1" si="89"/>
        <v>192.8020086706166</v>
      </c>
      <c r="K158" s="36">
        <f t="shared" ca="1" si="64"/>
        <v>1286.6038803973033</v>
      </c>
      <c r="L158" s="36">
        <f t="shared" ca="1" si="65"/>
        <v>1238.0527905709898</v>
      </c>
      <c r="M158" s="36">
        <f t="shared" ca="1" si="90"/>
        <v>1265.5852011121017</v>
      </c>
      <c r="N158" s="36">
        <f t="shared" ca="1" si="71"/>
        <v>192.8020086706166</v>
      </c>
      <c r="O158" s="36">
        <f t="shared" ca="1" si="72"/>
        <v>1265.5852011121017</v>
      </c>
      <c r="P158" s="35">
        <f t="shared" ca="1" si="73"/>
        <v>15.248014471230141</v>
      </c>
      <c r="Q158" s="35">
        <f t="shared" ca="1" si="74"/>
        <v>12.644400950326631</v>
      </c>
      <c r="R158" s="35">
        <f t="shared" ca="1" si="75"/>
        <v>13.063400950326631</v>
      </c>
      <c r="S158" s="35">
        <f t="shared" ca="1" si="76"/>
        <v>18.383230699308534</v>
      </c>
      <c r="T158" s="35">
        <f t="shared" ca="1" si="87"/>
        <v>240.14751338742082</v>
      </c>
      <c r="U158" s="35">
        <f t="shared" ca="1" si="78"/>
        <v>0.80284824086259221</v>
      </c>
      <c r="V158" s="35">
        <f t="shared" ca="1" si="66"/>
        <v>1.4547606604918137</v>
      </c>
      <c r="W158" s="35">
        <f t="shared" ca="1" si="67"/>
        <v>192.8020086706166</v>
      </c>
      <c r="X158" s="35">
        <f t="shared" ca="1" si="79"/>
        <v>0.14263336875800431</v>
      </c>
      <c r="Y158" s="35">
        <f t="shared" ca="1" si="80"/>
        <v>0.10306165427610227</v>
      </c>
      <c r="Z158" s="35">
        <f t="shared" ca="1" si="81"/>
        <v>266.83057043046756</v>
      </c>
      <c r="AA158" s="45">
        <f t="shared" si="68"/>
        <v>2.4693877551020407</v>
      </c>
    </row>
    <row r="159" spans="1:27" s="11" customFormat="1">
      <c r="A159" s="44"/>
      <c r="B159" s="54">
        <f t="shared" si="85"/>
        <v>2.5</v>
      </c>
      <c r="C159" s="36">
        <f t="shared" si="88"/>
        <v>12</v>
      </c>
      <c r="D159" s="36">
        <f t="shared" si="86"/>
        <v>21</v>
      </c>
      <c r="E159" s="36">
        <f t="shared" ca="1" si="59"/>
        <v>28</v>
      </c>
      <c r="F159" s="36">
        <f t="shared" ca="1" si="60"/>
        <v>14.029509277681665</v>
      </c>
      <c r="G159" s="36">
        <f t="shared" ca="1" si="61"/>
        <v>7.0316396649163382</v>
      </c>
      <c r="H159" s="36">
        <f t="shared" ca="1" si="62"/>
        <v>206.94724964380225</v>
      </c>
      <c r="I159" s="36">
        <f t="shared" ca="1" si="63"/>
        <v>174.27312888743722</v>
      </c>
      <c r="J159" s="36">
        <f t="shared" ca="1" si="89"/>
        <v>197.47116122195334</v>
      </c>
      <c r="K159" s="36">
        <f t="shared" ca="1" si="64"/>
        <v>1286.6038803973033</v>
      </c>
      <c r="L159" s="36">
        <f t="shared" ca="1" si="65"/>
        <v>1238.0527905709898</v>
      </c>
      <c r="M159" s="36">
        <f t="shared" ca="1" si="90"/>
        <v>1272.523182599746</v>
      </c>
      <c r="N159" s="36">
        <f t="shared" ca="1" si="71"/>
        <v>197.47116122195334</v>
      </c>
      <c r="O159" s="36">
        <f t="shared" ca="1" si="72"/>
        <v>1272.523182599746</v>
      </c>
      <c r="P159" s="35">
        <f t="shared" ca="1" si="73"/>
        <v>15.331604609635493</v>
      </c>
      <c r="Q159" s="35">
        <f t="shared" ca="1" si="74"/>
        <v>12.880006121332411</v>
      </c>
      <c r="R159" s="35">
        <f t="shared" ca="1" si="75"/>
        <v>13.299006121332411</v>
      </c>
      <c r="S159" s="35">
        <f t="shared" ca="1" si="76"/>
        <v>18.52336607875527</v>
      </c>
      <c r="T159" s="35">
        <f t="shared" ca="1" si="87"/>
        <v>246.34235886904747</v>
      </c>
      <c r="U159" s="35">
        <f t="shared" ca="1" si="78"/>
        <v>0.80161269108787958</v>
      </c>
      <c r="V159" s="35">
        <f t="shared" ca="1" si="66"/>
        <v>1.481867451516089</v>
      </c>
      <c r="W159" s="35">
        <f t="shared" ca="1" si="67"/>
        <v>197.47116122195334</v>
      </c>
      <c r="X159" s="35">
        <f t="shared" ca="1" si="79"/>
        <v>0.15192091753732406</v>
      </c>
      <c r="Y159" s="35">
        <f t="shared" ca="1" si="80"/>
        <v>0.10960356198567077</v>
      </c>
      <c r="Z159" s="35">
        <f t="shared" ca="1" si="81"/>
        <v>273.7137320767194</v>
      </c>
      <c r="AA159" s="45">
        <f t="shared" si="68"/>
        <v>2.693877551020408</v>
      </c>
    </row>
    <row r="160" spans="1:27" s="11" customFormat="1">
      <c r="A160" s="44"/>
      <c r="B160" s="54">
        <f t="shared" si="85"/>
        <v>2.5</v>
      </c>
      <c r="C160" s="36">
        <f t="shared" si="88"/>
        <v>13</v>
      </c>
      <c r="D160" s="36">
        <f t="shared" si="86"/>
        <v>21</v>
      </c>
      <c r="E160" s="36">
        <f t="shared" ca="1" si="59"/>
        <v>28</v>
      </c>
      <c r="F160" s="36">
        <f t="shared" ca="1" si="60"/>
        <v>14.029509277681665</v>
      </c>
      <c r="G160" s="36">
        <f t="shared" ca="1" si="61"/>
        <v>7.0316396649163382</v>
      </c>
      <c r="H160" s="36">
        <f t="shared" ca="1" si="62"/>
        <v>206.94724964380225</v>
      </c>
      <c r="I160" s="36">
        <f t="shared" ca="1" si="63"/>
        <v>174.27312888743722</v>
      </c>
      <c r="J160" s="36">
        <f t="shared" ca="1" si="89"/>
        <v>202.14031377329007</v>
      </c>
      <c r="K160" s="36">
        <f t="shared" ca="1" si="64"/>
        <v>1286.6038803973033</v>
      </c>
      <c r="L160" s="36">
        <f t="shared" ca="1" si="65"/>
        <v>1238.0527905709898</v>
      </c>
      <c r="M160" s="36">
        <f t="shared" ca="1" si="90"/>
        <v>1279.46116408739</v>
      </c>
      <c r="N160" s="36">
        <f t="shared" ca="1" si="71"/>
        <v>202.14031377329007</v>
      </c>
      <c r="O160" s="36">
        <f t="shared" ca="1" si="72"/>
        <v>1279.46116408739</v>
      </c>
      <c r="P160" s="35">
        <f t="shared" ca="1" si="73"/>
        <v>15.415194748040843</v>
      </c>
      <c r="Q160" s="35">
        <f t="shared" ca="1" si="74"/>
        <v>13.113056116205124</v>
      </c>
      <c r="R160" s="35">
        <f t="shared" ca="1" si="75"/>
        <v>13.532056116205124</v>
      </c>
      <c r="S160" s="35">
        <f t="shared" ca="1" si="76"/>
        <v>18.662888215930074</v>
      </c>
      <c r="T160" s="35">
        <f t="shared" ca="1" si="87"/>
        <v>252.54725062842911</v>
      </c>
      <c r="U160" s="35">
        <f t="shared" ca="1" si="78"/>
        <v>0.80040591719090859</v>
      </c>
      <c r="V160" s="35">
        <f t="shared" ca="1" si="66"/>
        <v>1.5086802650135831</v>
      </c>
      <c r="W160" s="35">
        <f t="shared" ca="1" si="67"/>
        <v>202.1403137732901</v>
      </c>
      <c r="X160" s="35">
        <f t="shared" ca="1" si="79"/>
        <v>0.16077940809199637</v>
      </c>
      <c r="Y160" s="35">
        <f t="shared" ca="1" si="80"/>
        <v>0.11581991063935716</v>
      </c>
      <c r="Z160" s="35">
        <f t="shared" ca="1" si="81"/>
        <v>280.6080562538101</v>
      </c>
      <c r="AA160" s="45">
        <f t="shared" si="68"/>
        <v>2.9183673469387754</v>
      </c>
    </row>
    <row r="161" spans="1:27" s="11" customFormat="1">
      <c r="A161" s="44"/>
      <c r="B161" s="54">
        <f t="shared" si="85"/>
        <v>2.5</v>
      </c>
      <c r="C161" s="36">
        <f t="shared" si="88"/>
        <v>14</v>
      </c>
      <c r="D161" s="36">
        <f t="shared" si="86"/>
        <v>21</v>
      </c>
      <c r="E161" s="36">
        <f t="shared" ca="1" si="59"/>
        <v>28</v>
      </c>
      <c r="F161" s="36">
        <f t="shared" ca="1" si="60"/>
        <v>14.029509277681665</v>
      </c>
      <c r="G161" s="36">
        <f t="shared" ca="1" si="61"/>
        <v>7.0316396649163382</v>
      </c>
      <c r="H161" s="36">
        <f t="shared" ca="1" si="62"/>
        <v>206.94724964380225</v>
      </c>
      <c r="I161" s="36">
        <f t="shared" ca="1" si="63"/>
        <v>174.27312888743722</v>
      </c>
      <c r="J161" s="36">
        <f t="shared" ca="1" si="89"/>
        <v>206.80946632462681</v>
      </c>
      <c r="K161" s="36">
        <f t="shared" ca="1" si="64"/>
        <v>1286.6038803973033</v>
      </c>
      <c r="L161" s="36">
        <f t="shared" ca="1" si="65"/>
        <v>1238.0527905709898</v>
      </c>
      <c r="M161" s="36">
        <f t="shared" ca="1" si="90"/>
        <v>1286.3991455750343</v>
      </c>
      <c r="N161" s="36">
        <f t="shared" ca="1" si="71"/>
        <v>206.80946632462681</v>
      </c>
      <c r="O161" s="36">
        <f t="shared" ca="1" si="72"/>
        <v>1286.3991455750343</v>
      </c>
      <c r="P161" s="35">
        <f t="shared" ca="1" si="73"/>
        <v>15.498784886446195</v>
      </c>
      <c r="Q161" s="35">
        <f t="shared" ca="1" si="74"/>
        <v>13.34359227770709</v>
      </c>
      <c r="R161" s="35">
        <f t="shared" ca="1" si="75"/>
        <v>13.762592277707091</v>
      </c>
      <c r="S161" s="35">
        <f t="shared" ca="1" si="76"/>
        <v>18.801807033095898</v>
      </c>
      <c r="T161" s="35">
        <f t="shared" ca="1" si="87"/>
        <v>258.76160428062445</v>
      </c>
      <c r="U161" s="35">
        <f t="shared" ca="1" si="78"/>
        <v>0.79922779463194216</v>
      </c>
      <c r="V161" s="35">
        <f t="shared" ca="1" si="66"/>
        <v>1.5352038575421152</v>
      </c>
      <c r="W161" s="35">
        <f t="shared" ca="1" si="67"/>
        <v>206.80946632462681</v>
      </c>
      <c r="X161" s="35">
        <f t="shared" ca="1" si="79"/>
        <v>0.16923790105942654</v>
      </c>
      <c r="Y161" s="35">
        <f t="shared" ca="1" si="80"/>
        <v>0.12173367098867788</v>
      </c>
      <c r="Z161" s="35">
        <f t="shared" ca="1" si="81"/>
        <v>287.51289364513826</v>
      </c>
      <c r="AA161" s="45">
        <f t="shared" si="68"/>
        <v>3.1428571428571428</v>
      </c>
    </row>
    <row r="162" spans="1:27" s="11" customFormat="1">
      <c r="A162" s="44"/>
      <c r="B162" s="54">
        <f t="shared" si="85"/>
        <v>2.5</v>
      </c>
      <c r="C162" s="36">
        <f t="shared" si="88"/>
        <v>15</v>
      </c>
      <c r="D162" s="36">
        <f t="shared" si="86"/>
        <v>21</v>
      </c>
      <c r="E162" s="36">
        <f t="shared" ca="1" si="59"/>
        <v>27</v>
      </c>
      <c r="F162" s="36">
        <f t="shared" ca="1" si="60"/>
        <v>24.26126396813827</v>
      </c>
      <c r="G162" s="36">
        <f t="shared" ca="1" si="61"/>
        <v>14.029509277681665</v>
      </c>
      <c r="H162" s="36">
        <f t="shared" ca="1" si="62"/>
        <v>253.966433164009</v>
      </c>
      <c r="I162" s="36">
        <f t="shared" ca="1" si="63"/>
        <v>206.94724964380225</v>
      </c>
      <c r="J162" s="36">
        <f t="shared" ca="1" si="89"/>
        <v>211.40705959408433</v>
      </c>
      <c r="K162" s="36">
        <f t="shared" ca="1" si="64"/>
        <v>1339.1183244951524</v>
      </c>
      <c r="L162" s="36">
        <f t="shared" ca="1" si="65"/>
        <v>1286.6038803973033</v>
      </c>
      <c r="M162" s="36">
        <f t="shared" ca="1" si="90"/>
        <v>1291.5849205342608</v>
      </c>
      <c r="N162" s="36">
        <f t="shared" ca="1" si="71"/>
        <v>211.40705959408433</v>
      </c>
      <c r="O162" s="36">
        <f t="shared" ca="1" si="72"/>
        <v>1291.5849205342608</v>
      </c>
      <c r="P162" s="35">
        <f t="shared" ca="1" si="73"/>
        <v>15.56126410282242</v>
      </c>
      <c r="Q162" s="35">
        <f t="shared" ca="1" si="74"/>
        <v>13.585468262552039</v>
      </c>
      <c r="R162" s="35">
        <f t="shared" ca="1" si="75"/>
        <v>14.00446826255204</v>
      </c>
      <c r="S162" s="35">
        <f t="shared" ca="1" si="76"/>
        <v>18.922336485834911</v>
      </c>
      <c r="T162" s="35">
        <f t="shared" ca="1" si="87"/>
        <v>264.99726076920552</v>
      </c>
      <c r="U162" s="35">
        <f t="shared" ca="1" si="78"/>
        <v>0.79777073536697951</v>
      </c>
      <c r="V162" s="35">
        <f t="shared" ca="1" si="66"/>
        <v>1.5630321167734123</v>
      </c>
      <c r="W162" s="35">
        <f t="shared" ca="1" si="67"/>
        <v>211.40705959408433</v>
      </c>
      <c r="X162" s="35">
        <f t="shared" ca="1" si="79"/>
        <v>0.17738291271825313</v>
      </c>
      <c r="Y162" s="35">
        <f t="shared" ca="1" si="80"/>
        <v>0.12735980704869979</v>
      </c>
      <c r="Z162" s="35">
        <f t="shared" ca="1" si="81"/>
        <v>294.44140085467279</v>
      </c>
      <c r="AA162" s="45">
        <f t="shared" si="68"/>
        <v>3.3673469387755102</v>
      </c>
    </row>
    <row r="163" spans="1:27" s="11" customFormat="1" ht="15.75" thickBot="1">
      <c r="A163" s="46"/>
      <c r="B163" s="55">
        <f t="shared" si="85"/>
        <v>2.5</v>
      </c>
      <c r="C163" s="47">
        <f t="shared" si="88"/>
        <v>16</v>
      </c>
      <c r="D163" s="47">
        <f t="shared" si="86"/>
        <v>21</v>
      </c>
      <c r="E163" s="47">
        <f t="shared" ca="1" si="59"/>
        <v>27</v>
      </c>
      <c r="F163" s="47">
        <f t="shared" ca="1" si="60"/>
        <v>24.26126396813827</v>
      </c>
      <c r="G163" s="47">
        <f t="shared" ca="1" si="61"/>
        <v>14.029509277681665</v>
      </c>
      <c r="H163" s="47">
        <f t="shared" ca="1" si="62"/>
        <v>253.966433164009</v>
      </c>
      <c r="I163" s="47">
        <f t="shared" ca="1" si="63"/>
        <v>206.94724964380225</v>
      </c>
      <c r="J163" s="47">
        <f t="shared" ca="1" si="89"/>
        <v>216.00247699243758</v>
      </c>
      <c r="K163" s="47">
        <f t="shared" ca="1" si="64"/>
        <v>1339.1183244951524</v>
      </c>
      <c r="L163" s="47">
        <f t="shared" ca="1" si="65"/>
        <v>1286.6038803973033</v>
      </c>
      <c r="M163" s="47">
        <f t="shared" ca="1" si="90"/>
        <v>1296.7174169326381</v>
      </c>
      <c r="N163" s="47">
        <f t="shared" ca="1" si="71"/>
        <v>216.00247699243758</v>
      </c>
      <c r="O163" s="47">
        <f t="shared" ca="1" si="72"/>
        <v>1296.7174169326381</v>
      </c>
      <c r="P163" s="48">
        <f t="shared" ca="1" si="73"/>
        <v>15.623101408826965</v>
      </c>
      <c r="Q163" s="48">
        <f t="shared" ca="1" si="74"/>
        <v>13.825838502872251</v>
      </c>
      <c r="R163" s="48">
        <f t="shared" ca="1" si="75"/>
        <v>14.244838502872252</v>
      </c>
      <c r="S163" s="48">
        <f t="shared" ca="1" si="76"/>
        <v>19.041862649516304</v>
      </c>
      <c r="T163" s="48">
        <f t="shared" ca="1" si="87"/>
        <v>271.2482582362349</v>
      </c>
      <c r="U163" s="48">
        <f t="shared" ca="1" si="78"/>
        <v>0.79632760924244239</v>
      </c>
      <c r="V163" s="48">
        <f t="shared" ca="1" si="66"/>
        <v>1.5906871374378571</v>
      </c>
      <c r="W163" s="48">
        <f t="shared" ca="1" si="67"/>
        <v>216.00247699243758</v>
      </c>
      <c r="X163" s="48">
        <f t="shared" ca="1" si="79"/>
        <v>0.18518306158776332</v>
      </c>
      <c r="Y163" s="48">
        <f t="shared" ca="1" si="80"/>
        <v>0.13271974623574159</v>
      </c>
      <c r="Z163" s="48">
        <f t="shared" ca="1" si="81"/>
        <v>301.38695359581658</v>
      </c>
      <c r="AA163" s="49">
        <f t="shared" si="68"/>
        <v>3.5918367346938775</v>
      </c>
    </row>
    <row r="164" spans="1:27">
      <c r="A164" s="99" t="str">
        <f>_xlfn.CONCAT("v = ", TEXT(B164,"0.0"), " m/s")</f>
        <v>v = 3.0 m/s</v>
      </c>
      <c r="B164" s="50">
        <f>$B$12</f>
        <v>3</v>
      </c>
      <c r="C164" s="102">
        <f>C148</f>
        <v>1</v>
      </c>
      <c r="D164" s="39">
        <f>COLUMN($X$34)</f>
        <v>24</v>
      </c>
      <c r="E164" s="39">
        <f t="shared" ref="E164:E179" ca="1" si="91">MATCH($C164,OFFSET($A$34,0,$D164+1,30,1),-1)</f>
        <v>29</v>
      </c>
      <c r="F164" s="39">
        <f t="shared" ref="F164:F179" ca="1" si="92">INDEX(OFFSET($A$34,0,$D164+1,30,1),$E164)</f>
        <v>10.125561117479529</v>
      </c>
      <c r="G164" s="39">
        <f t="shared" ref="G164:G179" ca="1" si="93">INDEX(OFFSET($A$34,0,$D164+1,30,1),$E164+1)</f>
        <v>0.15936518380165288</v>
      </c>
      <c r="H164" s="39">
        <f t="shared" ref="H164:H179" ca="1" si="94">INDEX(OFFSET($A$34,0,$D164,30,1),$E164)</f>
        <v>301.14396671749154</v>
      </c>
      <c r="I164" s="39">
        <f t="shared" ref="I164:I179" ca="1" si="95">INDEX(OFFSET($A$34,0,$D164,30,1),$E164+1)</f>
        <v>250.34821600841462</v>
      </c>
      <c r="J164" s="39">
        <f ca="1">H164+ (H164-I164)/(F164-G164)*(C164-F164)</f>
        <v>254.63276718974225</v>
      </c>
      <c r="K164" s="39">
        <f t="shared" ref="K164:K179" ca="1" si="96">INDEX(OFFSET($A$34,0,$D164-1,30,1),$E164)</f>
        <v>1485.6633486851879</v>
      </c>
      <c r="L164" s="39">
        <f t="shared" ref="L164:L179" ca="1" si="97">INDEX(OFFSET($A$34,0,$D164-1,30,1),$E164+1)</f>
        <v>1431.6392269148173</v>
      </c>
      <c r="M164" s="39">
        <f ca="1">K164+ (K164-L164)/(F164-G164)*(C164-F164)</f>
        <v>1436.1960867214009</v>
      </c>
      <c r="N164" s="39">
        <f t="shared" ca="1" si="71"/>
        <v>254.63276718974225</v>
      </c>
      <c r="O164" s="39">
        <f t="shared" ca="1" si="72"/>
        <v>1436.1960867214009</v>
      </c>
      <c r="P164" s="14">
        <f t="shared" ca="1" si="73"/>
        <v>17.303567309896398</v>
      </c>
      <c r="Q164" s="14">
        <f t="shared" ca="1" si="74"/>
        <v>14.715622659155988</v>
      </c>
      <c r="R164" s="14">
        <f t="shared" ca="1" si="75"/>
        <v>15.134622659155989</v>
      </c>
      <c r="S164" s="14">
        <f t="shared" ca="1" si="76"/>
        <v>20.935876748093836</v>
      </c>
      <c r="T164" s="14">
        <f ca="1">R164*S164</f>
        <v>316.85659462099795</v>
      </c>
      <c r="U164" s="14">
        <f t="shared" ca="1" si="78"/>
        <v>0.80362148527890498</v>
      </c>
      <c r="V164" s="14">
        <f t="shared" ref="V164:V179" ca="1" si="98">J164/(M164/60*2*PI())</f>
        <v>1.6930583760576701</v>
      </c>
      <c r="W164" s="14">
        <f t="shared" ref="W164:W179" ca="1" si="99">V164*(M164/60*2*PI())</f>
        <v>254.63276718974225</v>
      </c>
      <c r="X164" s="14">
        <f t="shared" ca="1" si="79"/>
        <v>1.1781673007404105E-2</v>
      </c>
      <c r="Y164" s="14">
        <f t="shared" ca="1" si="80"/>
        <v>8.5212050051524223E-3</v>
      </c>
      <c r="Z164" s="14">
        <f t="shared" ca="1" si="81"/>
        <v>352.06288291221995</v>
      </c>
      <c r="AA164" s="15">
        <f t="shared" ref="AA164:AA179" si="100">C164/9.8*2.2</f>
        <v>0.22448979591836735</v>
      </c>
    </row>
    <row r="165" spans="1:27">
      <c r="A165" s="16"/>
      <c r="B165" s="51">
        <f t="shared" ref="B165:B179" si="101">$B$12</f>
        <v>3</v>
      </c>
      <c r="C165" s="117">
        <f>C149</f>
        <v>2</v>
      </c>
      <c r="D165" s="37">
        <f t="shared" ref="D165:D179" si="102">COLUMN($X$34)</f>
        <v>24</v>
      </c>
      <c r="E165" s="34">
        <f t="shared" ca="1" si="91"/>
        <v>29</v>
      </c>
      <c r="F165" s="34">
        <f t="shared" ca="1" si="92"/>
        <v>10.125561117479529</v>
      </c>
      <c r="G165" s="34">
        <f t="shared" ca="1" si="93"/>
        <v>0.15936518380165288</v>
      </c>
      <c r="H165" s="34">
        <f t="shared" ca="1" si="94"/>
        <v>301.14396671749154</v>
      </c>
      <c r="I165" s="34">
        <f t="shared" ca="1" si="95"/>
        <v>250.34821600841462</v>
      </c>
      <c r="J165" s="34">
        <f ca="1">H165+ (H165-I165)/(F165-G165)*(C165-F165)</f>
        <v>259.72957153185109</v>
      </c>
      <c r="K165" s="34">
        <f t="shared" ca="1" si="96"/>
        <v>1485.6633486851879</v>
      </c>
      <c r="L165" s="34">
        <f t="shared" ca="1" si="97"/>
        <v>1431.6392269148173</v>
      </c>
      <c r="M165" s="34">
        <f ca="1">K165+ (K165-L165)/(F165-G165)*(C165-F165)</f>
        <v>1441.6168231919544</v>
      </c>
      <c r="N165" s="34">
        <f t="shared" ca="1" si="71"/>
        <v>259.72957153185109</v>
      </c>
      <c r="O165" s="34">
        <f t="shared" ca="1" si="72"/>
        <v>1441.6168231919544</v>
      </c>
      <c r="P165" s="7">
        <f t="shared" ca="1" si="73"/>
        <v>17.368877387854873</v>
      </c>
      <c r="Q165" s="7">
        <f t="shared" ca="1" si="74"/>
        <v>14.953733953667385</v>
      </c>
      <c r="R165" s="7">
        <f t="shared" ca="1" si="75"/>
        <v>15.372733953667385</v>
      </c>
      <c r="S165" s="7">
        <f t="shared" ca="1" si="76"/>
        <v>21.058333536735045</v>
      </c>
      <c r="T165" s="7">
        <f t="shared" ref="T165:T179" ca="1" si="103">R165*S165</f>
        <v>323.72415896781945</v>
      </c>
      <c r="U165" s="7">
        <f t="shared" ca="1" si="78"/>
        <v>0.80231754207034678</v>
      </c>
      <c r="V165" s="7">
        <f t="shared" ca="1" si="98"/>
        <v>1.7204535010173077</v>
      </c>
      <c r="W165" s="7">
        <f t="shared" ca="1" si="99"/>
        <v>259.72957153185109</v>
      </c>
      <c r="X165" s="7">
        <f t="shared" ca="1" si="79"/>
        <v>2.3100950594931426E-2</v>
      </c>
      <c r="Y165" s="7">
        <f t="shared" ca="1" si="80"/>
        <v>1.6680868110732508E-2</v>
      </c>
      <c r="Z165" s="7">
        <f t="shared" ca="1" si="81"/>
        <v>359.69350996424384</v>
      </c>
      <c r="AA165" s="17">
        <f t="shared" si="100"/>
        <v>0.44897959183673469</v>
      </c>
    </row>
    <row r="166" spans="1:27">
      <c r="A166" s="16"/>
      <c r="B166" s="51">
        <f t="shared" si="101"/>
        <v>3</v>
      </c>
      <c r="C166" s="117">
        <f t="shared" ref="C166:C179" si="104">C150</f>
        <v>3</v>
      </c>
      <c r="D166" s="34">
        <f t="shared" si="102"/>
        <v>24</v>
      </c>
      <c r="E166" s="34">
        <f t="shared" ca="1" si="91"/>
        <v>29</v>
      </c>
      <c r="F166" s="34">
        <f t="shared" ca="1" si="92"/>
        <v>10.125561117479529</v>
      </c>
      <c r="G166" s="34">
        <f t="shared" ca="1" si="93"/>
        <v>0.15936518380165288</v>
      </c>
      <c r="H166" s="34">
        <f t="shared" ca="1" si="94"/>
        <v>301.14396671749154</v>
      </c>
      <c r="I166" s="34">
        <f t="shared" ca="1" si="95"/>
        <v>250.34821600841462</v>
      </c>
      <c r="J166" s="34">
        <f ca="1">H166+ (H166-I166)/(F166-G166)*(C166-F166)</f>
        <v>264.82637587395993</v>
      </c>
      <c r="K166" s="34">
        <f t="shared" ca="1" si="96"/>
        <v>1485.6633486851879</v>
      </c>
      <c r="L166" s="34">
        <f t="shared" ca="1" si="97"/>
        <v>1431.6392269148173</v>
      </c>
      <c r="M166" s="34">
        <f ca="1">K166+ (K166-L166)/(F166-G166)*(C166-F166)</f>
        <v>1447.0375596625079</v>
      </c>
      <c r="N166" s="34">
        <f t="shared" ca="1" si="71"/>
        <v>264.82637587395993</v>
      </c>
      <c r="O166" s="34">
        <f t="shared" ca="1" si="72"/>
        <v>1447.0375596625079</v>
      </c>
      <c r="P166" s="7">
        <f t="shared" ca="1" si="73"/>
        <v>17.434187465813348</v>
      </c>
      <c r="Q166" s="7">
        <f t="shared" ca="1" si="74"/>
        <v>15.190061274335685</v>
      </c>
      <c r="R166" s="7">
        <f t="shared" ca="1" si="75"/>
        <v>15.609061274335685</v>
      </c>
      <c r="S166" s="7">
        <f t="shared" ca="1" si="76"/>
        <v>21.180362171653911</v>
      </c>
      <c r="T166" s="7">
        <f t="shared" ca="1" si="103"/>
        <v>330.60557094996756</v>
      </c>
      <c r="U166" s="7">
        <f t="shared" ca="1" si="78"/>
        <v>0.80103422066664942</v>
      </c>
      <c r="V166" s="7">
        <f t="shared" ca="1" si="98"/>
        <v>1.7476433766356381</v>
      </c>
      <c r="W166" s="7">
        <f t="shared" ca="1" si="99"/>
        <v>264.82637587395993</v>
      </c>
      <c r="X166" s="7">
        <f t="shared" ca="1" si="79"/>
        <v>3.3984530318397786E-2</v>
      </c>
      <c r="Y166" s="7">
        <f t="shared" ca="1" si="80"/>
        <v>2.4500494582487899E-2</v>
      </c>
      <c r="Z166" s="7">
        <f t="shared" ca="1" si="81"/>
        <v>367.3395232777417</v>
      </c>
      <c r="AA166" s="17">
        <f t="shared" si="100"/>
        <v>0.67346938775510201</v>
      </c>
    </row>
    <row r="167" spans="1:27">
      <c r="A167" s="16"/>
      <c r="B167" s="51">
        <f t="shared" si="101"/>
        <v>3</v>
      </c>
      <c r="C167" s="117">
        <f t="shared" si="104"/>
        <v>4</v>
      </c>
      <c r="D167" s="34">
        <f t="shared" si="102"/>
        <v>24</v>
      </c>
      <c r="E167" s="34">
        <f t="shared" ca="1" si="91"/>
        <v>29</v>
      </c>
      <c r="F167" s="34">
        <f t="shared" ca="1" si="92"/>
        <v>10.125561117479529</v>
      </c>
      <c r="G167" s="34">
        <f t="shared" ca="1" si="93"/>
        <v>0.15936518380165288</v>
      </c>
      <c r="H167" s="34">
        <f t="shared" ca="1" si="94"/>
        <v>301.14396671749154</v>
      </c>
      <c r="I167" s="34">
        <f t="shared" ca="1" si="95"/>
        <v>250.34821600841462</v>
      </c>
      <c r="J167" s="34">
        <f ca="1">H167+ (H167-I167)/(F167-G167)*(C167-F167)</f>
        <v>269.92318021606877</v>
      </c>
      <c r="K167" s="34">
        <f t="shared" ca="1" si="96"/>
        <v>1485.6633486851879</v>
      </c>
      <c r="L167" s="34">
        <f t="shared" ca="1" si="97"/>
        <v>1431.6392269148173</v>
      </c>
      <c r="M167" s="34">
        <f ca="1">K167+ (K167-L167)/(F167-G167)*(C167-F167)</f>
        <v>1452.4582961330616</v>
      </c>
      <c r="N167" s="34">
        <f t="shared" ca="1" si="71"/>
        <v>269.92318021606877</v>
      </c>
      <c r="O167" s="34">
        <f t="shared" ca="1" si="72"/>
        <v>1452.4582961330616</v>
      </c>
      <c r="P167" s="7">
        <f t="shared" ca="1" si="73"/>
        <v>17.499497543771827</v>
      </c>
      <c r="Q167" s="7">
        <f t="shared" ca="1" si="74"/>
        <v>15.424624595129361</v>
      </c>
      <c r="R167" s="7">
        <f t="shared" ca="1" si="75"/>
        <v>15.843624595129361</v>
      </c>
      <c r="S167" s="7">
        <f t="shared" ca="1" si="76"/>
        <v>21.301967446602873</v>
      </c>
      <c r="T167" s="7">
        <f t="shared" ca="1" si="103"/>
        <v>337.50037536164228</v>
      </c>
      <c r="U167" s="7">
        <f t="shared" ca="1" si="78"/>
        <v>0.79977149633341171</v>
      </c>
      <c r="V167" s="7">
        <f t="shared" ca="1" si="98"/>
        <v>1.7746303009530096</v>
      </c>
      <c r="W167" s="7">
        <f t="shared" ca="1" si="99"/>
        <v>269.92318021606877</v>
      </c>
      <c r="X167" s="7">
        <f t="shared" ca="1" si="79"/>
        <v>4.445709327518374E-2</v>
      </c>
      <c r="Y167" s="7">
        <f t="shared" ca="1" si="80"/>
        <v>3.1999964410194981E-2</v>
      </c>
      <c r="Z167" s="7">
        <f t="shared" ca="1" si="81"/>
        <v>375.0004170684914</v>
      </c>
      <c r="AA167" s="17">
        <f t="shared" si="100"/>
        <v>0.89795918367346939</v>
      </c>
    </row>
    <row r="168" spans="1:27">
      <c r="A168" s="16"/>
      <c r="B168" s="51">
        <f t="shared" si="101"/>
        <v>3</v>
      </c>
      <c r="C168" s="117">
        <f t="shared" si="104"/>
        <v>5</v>
      </c>
      <c r="D168" s="34">
        <f t="shared" si="102"/>
        <v>24</v>
      </c>
      <c r="E168" s="34">
        <f t="shared" ca="1" si="91"/>
        <v>29</v>
      </c>
      <c r="F168" s="34">
        <f t="shared" ca="1" si="92"/>
        <v>10.125561117479529</v>
      </c>
      <c r="G168" s="34">
        <f t="shared" ca="1" si="93"/>
        <v>0.15936518380165288</v>
      </c>
      <c r="H168" s="34">
        <f t="shared" ca="1" si="94"/>
        <v>301.14396671749154</v>
      </c>
      <c r="I168" s="34">
        <f t="shared" ca="1" si="95"/>
        <v>250.34821600841462</v>
      </c>
      <c r="J168" s="34">
        <f t="shared" ref="J168:J179" ca="1" si="105">H168+ (H168-I168)/(F168-G168)*(C168-F168)</f>
        <v>275.01998455817761</v>
      </c>
      <c r="K168" s="34">
        <f t="shared" ca="1" si="96"/>
        <v>1485.6633486851879</v>
      </c>
      <c r="L168" s="34">
        <f t="shared" ca="1" si="97"/>
        <v>1431.6392269148173</v>
      </c>
      <c r="M168" s="34">
        <f t="shared" ref="M168:M179" ca="1" si="106">K168+ (K168-L168)/(F168-G168)*(C168-F168)</f>
        <v>1457.8790326036151</v>
      </c>
      <c r="N168" s="34">
        <f t="shared" ca="1" si="71"/>
        <v>275.01998455817761</v>
      </c>
      <c r="O168" s="34">
        <f t="shared" ca="1" si="72"/>
        <v>1457.8790326036151</v>
      </c>
      <c r="P168" s="7">
        <f t="shared" ca="1" si="73"/>
        <v>17.564807621730303</v>
      </c>
      <c r="Q168" s="7">
        <f t="shared" ca="1" si="74"/>
        <v>15.657443592945283</v>
      </c>
      <c r="R168" s="7">
        <f t="shared" ca="1" si="75"/>
        <v>16.076443592945282</v>
      </c>
      <c r="S168" s="7">
        <f t="shared" ca="1" si="76"/>
        <v>21.423154084037172</v>
      </c>
      <c r="T168" s="7">
        <f t="shared" ca="1" si="103"/>
        <v>344.40812821499895</v>
      </c>
      <c r="U168" s="7">
        <f t="shared" ca="1" si="78"/>
        <v>0.79852930876966599</v>
      </c>
      <c r="V168" s="7">
        <f t="shared" ca="1" si="98"/>
        <v>1.8014165378311577</v>
      </c>
      <c r="W168" s="7">
        <f t="shared" ca="1" si="99"/>
        <v>275.01998455817761</v>
      </c>
      <c r="X168" s="7">
        <f t="shared" ca="1" si="79"/>
        <v>5.4541490954185208E-2</v>
      </c>
      <c r="Y168" s="7">
        <f t="shared" ca="1" si="80"/>
        <v>3.9197681163821253E-2</v>
      </c>
      <c r="Z168" s="7">
        <f t="shared" ca="1" si="81"/>
        <v>382.67569801666548</v>
      </c>
      <c r="AA168" s="17">
        <f t="shared" si="100"/>
        <v>1.1224489795918369</v>
      </c>
    </row>
    <row r="169" spans="1:27">
      <c r="A169" s="16"/>
      <c r="B169" s="51">
        <f t="shared" si="101"/>
        <v>3</v>
      </c>
      <c r="C169" s="117">
        <f t="shared" si="104"/>
        <v>6</v>
      </c>
      <c r="D169" s="34">
        <f t="shared" si="102"/>
        <v>24</v>
      </c>
      <c r="E169" s="34">
        <f t="shared" ca="1" si="91"/>
        <v>29</v>
      </c>
      <c r="F169" s="34">
        <f t="shared" ca="1" si="92"/>
        <v>10.125561117479529</v>
      </c>
      <c r="G169" s="34">
        <f t="shared" ca="1" si="93"/>
        <v>0.15936518380165288</v>
      </c>
      <c r="H169" s="34">
        <f t="shared" ca="1" si="94"/>
        <v>301.14396671749154</v>
      </c>
      <c r="I169" s="34">
        <f t="shared" ca="1" si="95"/>
        <v>250.34821600841462</v>
      </c>
      <c r="J169" s="34">
        <f t="shared" ca="1" si="105"/>
        <v>280.11678890028645</v>
      </c>
      <c r="K169" s="34">
        <f t="shared" ca="1" si="96"/>
        <v>1485.6633486851879</v>
      </c>
      <c r="L169" s="34">
        <f t="shared" ca="1" si="97"/>
        <v>1431.6392269148173</v>
      </c>
      <c r="M169" s="34">
        <f t="shared" ca="1" si="106"/>
        <v>1463.2997690741688</v>
      </c>
      <c r="N169" s="34">
        <f t="shared" ca="1" si="71"/>
        <v>280.11678890028645</v>
      </c>
      <c r="O169" s="34">
        <f t="shared" ca="1" si="72"/>
        <v>1463.2997690741688</v>
      </c>
      <c r="P169" s="7">
        <f t="shared" ca="1" si="73"/>
        <v>17.630117699688782</v>
      </c>
      <c r="Q169" s="7">
        <f t="shared" ca="1" si="74"/>
        <v>15.888537653111145</v>
      </c>
      <c r="R169" s="7">
        <f t="shared" ca="1" si="75"/>
        <v>16.307537653111144</v>
      </c>
      <c r="S169" s="7">
        <f t="shared" ca="1" si="76"/>
        <v>21.543926736435456</v>
      </c>
      <c r="T169" s="7">
        <f t="shared" ca="1" si="103"/>
        <v>351.32839645028906</v>
      </c>
      <c r="U169" s="7">
        <f t="shared" ca="1" si="78"/>
        <v>0.79730756673954584</v>
      </c>
      <c r="V169" s="7">
        <f t="shared" ca="1" si="98"/>
        <v>1.8280043175862708</v>
      </c>
      <c r="W169" s="7">
        <f t="shared" ca="1" si="99"/>
        <v>280.11678890028645</v>
      </c>
      <c r="X169" s="7">
        <f t="shared" ca="1" si="79"/>
        <v>6.4258911687037387E-2</v>
      </c>
      <c r="Y169" s="7">
        <f t="shared" ca="1" si="80"/>
        <v>4.6110704866670828E-2</v>
      </c>
      <c r="Z169" s="7">
        <f t="shared" ca="1" si="81"/>
        <v>390.36488494476561</v>
      </c>
      <c r="AA169" s="17">
        <f t="shared" si="100"/>
        <v>1.346938775510204</v>
      </c>
    </row>
    <row r="170" spans="1:27">
      <c r="A170" s="16"/>
      <c r="B170" s="51">
        <f t="shared" si="101"/>
        <v>3</v>
      </c>
      <c r="C170" s="117">
        <f t="shared" si="104"/>
        <v>7</v>
      </c>
      <c r="D170" s="34">
        <f t="shared" si="102"/>
        <v>24</v>
      </c>
      <c r="E170" s="34">
        <f t="shared" ca="1" si="91"/>
        <v>29</v>
      </c>
      <c r="F170" s="34">
        <f t="shared" ca="1" si="92"/>
        <v>10.125561117479529</v>
      </c>
      <c r="G170" s="34">
        <f t="shared" ca="1" si="93"/>
        <v>0.15936518380165288</v>
      </c>
      <c r="H170" s="34">
        <f t="shared" ca="1" si="94"/>
        <v>301.14396671749154</v>
      </c>
      <c r="I170" s="34">
        <f t="shared" ca="1" si="95"/>
        <v>250.34821600841462</v>
      </c>
      <c r="J170" s="34">
        <f t="shared" ca="1" si="105"/>
        <v>285.21359324239529</v>
      </c>
      <c r="K170" s="34">
        <f t="shared" ca="1" si="96"/>
        <v>1485.6633486851879</v>
      </c>
      <c r="L170" s="34">
        <f t="shared" ca="1" si="97"/>
        <v>1431.6392269148173</v>
      </c>
      <c r="M170" s="34">
        <f t="shared" ca="1" si="106"/>
        <v>1468.7205055447223</v>
      </c>
      <c r="N170" s="34">
        <f t="shared" ca="1" si="71"/>
        <v>285.21359324239529</v>
      </c>
      <c r="O170" s="34">
        <f t="shared" ca="1" si="72"/>
        <v>1468.7205055447223</v>
      </c>
      <c r="P170" s="7">
        <f t="shared" ca="1" si="73"/>
        <v>17.695427777647257</v>
      </c>
      <c r="Q170" s="7">
        <f t="shared" ca="1" si="74"/>
        <v>16.117925874766087</v>
      </c>
      <c r="R170" s="7">
        <f t="shared" ca="1" si="75"/>
        <v>16.536925874766087</v>
      </c>
      <c r="S170" s="7">
        <f t="shared" ca="1" si="76"/>
        <v>21.664289987591118</v>
      </c>
      <c r="T170" s="7">
        <f t="shared" ca="1" si="103"/>
        <v>358.26075765423144</v>
      </c>
      <c r="U170" s="7">
        <f t="shared" ca="1" si="78"/>
        <v>0.79610615214983649</v>
      </c>
      <c r="V170" s="7">
        <f t="shared" ca="1" si="98"/>
        <v>1.8543958376080365</v>
      </c>
      <c r="W170" s="7">
        <f t="shared" ca="1" si="99"/>
        <v>285.21359324239529</v>
      </c>
      <c r="X170" s="7">
        <f t="shared" ca="1" si="79"/>
        <v>7.3629029252307299E-2</v>
      </c>
      <c r="Y170" s="7">
        <f t="shared" ca="1" si="80"/>
        <v>5.2754870848123907E-2</v>
      </c>
      <c r="Z170" s="7">
        <f t="shared" ca="1" si="81"/>
        <v>398.06750850470161</v>
      </c>
      <c r="AA170" s="17">
        <f t="shared" si="100"/>
        <v>1.5714285714285714</v>
      </c>
    </row>
    <row r="171" spans="1:27">
      <c r="A171" s="16"/>
      <c r="B171" s="51">
        <f t="shared" si="101"/>
        <v>3</v>
      </c>
      <c r="C171" s="117">
        <f t="shared" si="104"/>
        <v>8</v>
      </c>
      <c r="D171" s="34">
        <f t="shared" si="102"/>
        <v>24</v>
      </c>
      <c r="E171" s="34">
        <f t="shared" ca="1" si="91"/>
        <v>29</v>
      </c>
      <c r="F171" s="34">
        <f t="shared" ca="1" si="92"/>
        <v>10.125561117479529</v>
      </c>
      <c r="G171" s="34">
        <f t="shared" ca="1" si="93"/>
        <v>0.15936518380165288</v>
      </c>
      <c r="H171" s="34">
        <f t="shared" ca="1" si="94"/>
        <v>301.14396671749154</v>
      </c>
      <c r="I171" s="34">
        <f t="shared" ca="1" si="95"/>
        <v>250.34821600841462</v>
      </c>
      <c r="J171" s="34">
        <f t="shared" ca="1" si="105"/>
        <v>290.31039758450413</v>
      </c>
      <c r="K171" s="34">
        <f t="shared" ca="1" si="96"/>
        <v>1485.6633486851879</v>
      </c>
      <c r="L171" s="34">
        <f t="shared" ca="1" si="97"/>
        <v>1431.6392269148173</v>
      </c>
      <c r="M171" s="34">
        <f t="shared" ca="1" si="106"/>
        <v>1474.141242015276</v>
      </c>
      <c r="N171" s="34">
        <f t="shared" ca="1" si="71"/>
        <v>290.31039758450413</v>
      </c>
      <c r="O171" s="34">
        <f t="shared" ca="1" si="72"/>
        <v>1474.141242015276</v>
      </c>
      <c r="P171" s="7">
        <f t="shared" ca="1" si="73"/>
        <v>17.760737855605736</v>
      </c>
      <c r="Q171" s="7">
        <f t="shared" ca="1" si="74"/>
        <v>16.345627076122565</v>
      </c>
      <c r="R171" s="7">
        <f t="shared" ca="1" si="75"/>
        <v>16.764627076122565</v>
      </c>
      <c r="S171" s="7">
        <f t="shared" ca="1" si="76"/>
        <v>21.784248353875153</v>
      </c>
      <c r="T171" s="7">
        <f t="shared" ca="1" si="103"/>
        <v>365.20479978635382</v>
      </c>
      <c r="U171" s="7">
        <f t="shared" ca="1" si="78"/>
        <v>0.79492492364376588</v>
      </c>
      <c r="V171" s="7">
        <f t="shared" ca="1" si="98"/>
        <v>1.8805932629650342</v>
      </c>
      <c r="W171" s="7">
        <f t="shared" ca="1" si="99"/>
        <v>290.31039758450413</v>
      </c>
      <c r="X171" s="7">
        <f t="shared" ca="1" si="79"/>
        <v>8.2670135825962041E-2</v>
      </c>
      <c r="Y171" s="7">
        <f t="shared" ca="1" si="80"/>
        <v>5.9144896268165374E-2</v>
      </c>
      <c r="Z171" s="7">
        <f t="shared" ca="1" si="81"/>
        <v>405.78311087372646</v>
      </c>
      <c r="AA171" s="17">
        <f t="shared" si="100"/>
        <v>1.7959183673469388</v>
      </c>
    </row>
    <row r="172" spans="1:27">
      <c r="A172" s="16"/>
      <c r="B172" s="51">
        <f t="shared" si="101"/>
        <v>3</v>
      </c>
      <c r="C172" s="117">
        <f t="shared" si="104"/>
        <v>9</v>
      </c>
      <c r="D172" s="34">
        <f t="shared" si="102"/>
        <v>24</v>
      </c>
      <c r="E172" s="34">
        <f t="shared" ca="1" si="91"/>
        <v>29</v>
      </c>
      <c r="F172" s="34">
        <f t="shared" ca="1" si="92"/>
        <v>10.125561117479529</v>
      </c>
      <c r="G172" s="34">
        <f t="shared" ca="1" si="93"/>
        <v>0.15936518380165288</v>
      </c>
      <c r="H172" s="34">
        <f t="shared" ca="1" si="94"/>
        <v>301.14396671749154</v>
      </c>
      <c r="I172" s="34">
        <f t="shared" ca="1" si="95"/>
        <v>250.34821600841462</v>
      </c>
      <c r="J172" s="34">
        <f t="shared" ca="1" si="105"/>
        <v>295.40720192661297</v>
      </c>
      <c r="K172" s="34">
        <f t="shared" ca="1" si="96"/>
        <v>1485.6633486851879</v>
      </c>
      <c r="L172" s="34">
        <f t="shared" ca="1" si="97"/>
        <v>1431.6392269148173</v>
      </c>
      <c r="M172" s="34">
        <f t="shared" ca="1" si="106"/>
        <v>1479.5619784858295</v>
      </c>
      <c r="N172" s="34">
        <f t="shared" ca="1" si="71"/>
        <v>295.40720192661297</v>
      </c>
      <c r="O172" s="34">
        <f t="shared" ca="1" si="72"/>
        <v>1479.5619784858295</v>
      </c>
      <c r="P172" s="7">
        <f t="shared" ca="1" si="73"/>
        <v>17.826047933564212</v>
      </c>
      <c r="Q172" s="7">
        <f t="shared" ca="1" si="74"/>
        <v>16.571659799612583</v>
      </c>
      <c r="R172" s="7">
        <f t="shared" ca="1" si="75"/>
        <v>16.990659799612583</v>
      </c>
      <c r="S172" s="7">
        <f t="shared" ca="1" si="76"/>
        <v>21.903806285471234</v>
      </c>
      <c r="T172" s="7">
        <f t="shared" ca="1" si="103"/>
        <v>372.16012091305754</v>
      </c>
      <c r="U172" s="7">
        <f t="shared" ca="1" si="78"/>
        <v>0.79376371977164295</v>
      </c>
      <c r="V172" s="7">
        <f t="shared" ca="1" si="98"/>
        <v>1.9065987269968121</v>
      </c>
      <c r="W172" s="7">
        <f t="shared" ca="1" si="99"/>
        <v>295.40720192661297</v>
      </c>
      <c r="X172" s="7">
        <f t="shared" ca="1" si="79"/>
        <v>9.1399261168681731E-2</v>
      </c>
      <c r="Y172" s="7">
        <f t="shared" ca="1" si="80"/>
        <v>6.5294475776669428E-2</v>
      </c>
      <c r="Z172" s="7">
        <f t="shared" ca="1" si="81"/>
        <v>413.51124545895283</v>
      </c>
      <c r="AA172" s="17">
        <f t="shared" si="100"/>
        <v>2.0204081632653059</v>
      </c>
    </row>
    <row r="173" spans="1:27">
      <c r="A173" s="16"/>
      <c r="B173" s="51">
        <f t="shared" si="101"/>
        <v>3</v>
      </c>
      <c r="C173" s="117">
        <f t="shared" si="104"/>
        <v>10</v>
      </c>
      <c r="D173" s="34">
        <f t="shared" si="102"/>
        <v>24</v>
      </c>
      <c r="E173" s="34">
        <f t="shared" ca="1" si="91"/>
        <v>29</v>
      </c>
      <c r="F173" s="34">
        <f t="shared" ca="1" si="92"/>
        <v>10.125561117479529</v>
      </c>
      <c r="G173" s="34">
        <f t="shared" ca="1" si="93"/>
        <v>0.15936518380165288</v>
      </c>
      <c r="H173" s="34">
        <f t="shared" ca="1" si="94"/>
        <v>301.14396671749154</v>
      </c>
      <c r="I173" s="34">
        <f t="shared" ca="1" si="95"/>
        <v>250.34821600841462</v>
      </c>
      <c r="J173" s="34">
        <f t="shared" ca="1" si="105"/>
        <v>300.50400626872181</v>
      </c>
      <c r="K173" s="34">
        <f t="shared" ca="1" si="96"/>
        <v>1485.6633486851879</v>
      </c>
      <c r="L173" s="34">
        <f t="shared" ca="1" si="97"/>
        <v>1431.6392269148173</v>
      </c>
      <c r="M173" s="34">
        <f t="shared" ca="1" si="106"/>
        <v>1484.9827149563832</v>
      </c>
      <c r="N173" s="34">
        <f t="shared" ca="1" si="71"/>
        <v>300.50400626872181</v>
      </c>
      <c r="O173" s="34">
        <f t="shared" ca="1" si="72"/>
        <v>1484.9827149563832</v>
      </c>
      <c r="P173" s="7">
        <f t="shared" ca="1" si="73"/>
        <v>17.891358011522691</v>
      </c>
      <c r="Q173" s="7">
        <f t="shared" ca="1" si="74"/>
        <v>16.796042316921177</v>
      </c>
      <c r="R173" s="7">
        <f t="shared" ca="1" si="75"/>
        <v>17.215042316921178</v>
      </c>
      <c r="S173" s="7">
        <f t="shared" ca="1" si="76"/>
        <v>22.022968167583773</v>
      </c>
      <c r="T173" s="7">
        <f t="shared" ca="1" si="103"/>
        <v>379.12632894916271</v>
      </c>
      <c r="U173" s="7">
        <f t="shared" ca="1" si="78"/>
        <v>0.79262236179069634</v>
      </c>
      <c r="V173" s="7">
        <f t="shared" ca="1" si="98"/>
        <v>1.9324143318930043</v>
      </c>
      <c r="W173" s="7">
        <f t="shared" ca="1" si="99"/>
        <v>300.50400626872181</v>
      </c>
      <c r="X173" s="7">
        <f t="shared" ca="1" si="79"/>
        <v>9.9832279684061484E-2</v>
      </c>
      <c r="Y173" s="7">
        <f t="shared" ca="1" si="80"/>
        <v>7.121636757551715E-2</v>
      </c>
      <c r="Z173" s="7">
        <f t="shared" ca="1" si="81"/>
        <v>421.25147661018076</v>
      </c>
      <c r="AA173" s="17">
        <f t="shared" si="100"/>
        <v>2.2448979591836737</v>
      </c>
    </row>
    <row r="174" spans="1:27">
      <c r="A174" s="16"/>
      <c r="B174" s="51">
        <f t="shared" si="101"/>
        <v>3</v>
      </c>
      <c r="C174" s="117">
        <f t="shared" si="104"/>
        <v>11</v>
      </c>
      <c r="D174" s="34">
        <f t="shared" si="102"/>
        <v>24</v>
      </c>
      <c r="E174" s="34">
        <f t="shared" ca="1" si="91"/>
        <v>28</v>
      </c>
      <c r="F174" s="34">
        <f t="shared" ca="1" si="92"/>
        <v>20.202493359861592</v>
      </c>
      <c r="G174" s="34">
        <f t="shared" ca="1" si="93"/>
        <v>10.125561117479529</v>
      </c>
      <c r="H174" s="34">
        <f t="shared" ca="1" si="94"/>
        <v>357.60484738449014</v>
      </c>
      <c r="I174" s="34">
        <f t="shared" ca="1" si="95"/>
        <v>301.14396671749154</v>
      </c>
      <c r="J174" s="34">
        <f t="shared" ca="1" si="105"/>
        <v>306.04343296466175</v>
      </c>
      <c r="K174" s="34">
        <f t="shared" ca="1" si="96"/>
        <v>1543.9246564767641</v>
      </c>
      <c r="L174" s="34">
        <f t="shared" ca="1" si="97"/>
        <v>1485.6633486851879</v>
      </c>
      <c r="M174" s="34">
        <f t="shared" ca="1" si="106"/>
        <v>1490.7190493343574</v>
      </c>
      <c r="N174" s="34">
        <f t="shared" ca="1" si="71"/>
        <v>306.04343296466175</v>
      </c>
      <c r="O174" s="34">
        <f t="shared" ca="1" si="72"/>
        <v>1490.7190493343574</v>
      </c>
      <c r="P174" s="7">
        <f t="shared" ca="1" si="73"/>
        <v>17.960470473907918</v>
      </c>
      <c r="Q174" s="7">
        <f t="shared" ca="1" si="74"/>
        <v>17.039833862329303</v>
      </c>
      <c r="R174" s="7">
        <f t="shared" ca="1" si="75"/>
        <v>17.458833862329303</v>
      </c>
      <c r="S174" s="7">
        <f t="shared" ca="1" si="76"/>
        <v>22.150590600866952</v>
      </c>
      <c r="T174" s="7">
        <f t="shared" ca="1" si="103"/>
        <v>386.72348125300914</v>
      </c>
      <c r="U174" s="7">
        <f t="shared" ca="1" si="78"/>
        <v>0.79137535681324855</v>
      </c>
      <c r="V174" s="7">
        <f t="shared" ca="1" si="98"/>
        <v>1.9604629797501478</v>
      </c>
      <c r="W174" s="7">
        <f t="shared" ca="1" si="99"/>
        <v>306.04343296466175</v>
      </c>
      <c r="X174" s="7">
        <f t="shared" ca="1" si="79"/>
        <v>0.10782783241034434</v>
      </c>
      <c r="Y174" s="7">
        <f t="shared" ca="1" si="80"/>
        <v>7.6799060413321879E-2</v>
      </c>
      <c r="Z174" s="7">
        <f t="shared" ca="1" si="81"/>
        <v>429.69275694778793</v>
      </c>
      <c r="AA174" s="17">
        <f t="shared" si="100"/>
        <v>2.4693877551020407</v>
      </c>
    </row>
    <row r="175" spans="1:27">
      <c r="A175" s="16"/>
      <c r="B175" s="51">
        <f t="shared" si="101"/>
        <v>3</v>
      </c>
      <c r="C175" s="117">
        <f t="shared" si="104"/>
        <v>12</v>
      </c>
      <c r="D175" s="34">
        <f t="shared" si="102"/>
        <v>24</v>
      </c>
      <c r="E175" s="34">
        <f t="shared" ca="1" si="91"/>
        <v>28</v>
      </c>
      <c r="F175" s="34">
        <f t="shared" ca="1" si="92"/>
        <v>20.202493359861592</v>
      </c>
      <c r="G175" s="34">
        <f t="shared" ca="1" si="93"/>
        <v>10.125561117479529</v>
      </c>
      <c r="H175" s="34">
        <f t="shared" ca="1" si="94"/>
        <v>357.60484738449014</v>
      </c>
      <c r="I175" s="34">
        <f t="shared" ca="1" si="95"/>
        <v>301.14396671749154</v>
      </c>
      <c r="J175" s="34">
        <f t="shared" ca="1" si="105"/>
        <v>311.6464160262658</v>
      </c>
      <c r="K175" s="34">
        <f t="shared" ca="1" si="96"/>
        <v>1543.9246564767641</v>
      </c>
      <c r="L175" s="34">
        <f t="shared" ca="1" si="97"/>
        <v>1485.6633486851879</v>
      </c>
      <c r="M175" s="34">
        <f t="shared" ca="1" si="106"/>
        <v>1496.5007005740608</v>
      </c>
      <c r="N175" s="34">
        <f t="shared" ca="1" si="71"/>
        <v>311.6464160262658</v>
      </c>
      <c r="O175" s="34">
        <f t="shared" ca="1" si="72"/>
        <v>1496.5007005740608</v>
      </c>
      <c r="P175" s="7">
        <f t="shared" ca="1" si="73"/>
        <v>18.030128922579046</v>
      </c>
      <c r="Q175" s="7">
        <f t="shared" ca="1" si="74"/>
        <v>17.284758049399883</v>
      </c>
      <c r="R175" s="7">
        <f t="shared" ca="1" si="75"/>
        <v>17.703758049399884</v>
      </c>
      <c r="S175" s="7">
        <f t="shared" ca="1" si="76"/>
        <v>22.279030854435018</v>
      </c>
      <c r="T175" s="7">
        <f t="shared" ca="1" si="103"/>
        <v>394.4225718220323</v>
      </c>
      <c r="U175" s="7">
        <f t="shared" ca="1" si="78"/>
        <v>0.79013331966935196</v>
      </c>
      <c r="V175" s="7">
        <f t="shared" ca="1" si="98"/>
        <v>1.988641940030905</v>
      </c>
      <c r="W175" s="7">
        <f t="shared" ca="1" si="99"/>
        <v>311.6464160262658</v>
      </c>
      <c r="X175" s="7">
        <f t="shared" ca="1" si="79"/>
        <v>0.11551552704833895</v>
      </c>
      <c r="Y175" s="7">
        <f t="shared" ca="1" si="80"/>
        <v>8.2145400174052988E-2</v>
      </c>
      <c r="Z175" s="7">
        <f t="shared" ca="1" si="81"/>
        <v>438.24730202448029</v>
      </c>
      <c r="AA175" s="17">
        <f t="shared" si="100"/>
        <v>2.693877551020408</v>
      </c>
    </row>
    <row r="176" spans="1:27">
      <c r="A176" s="16"/>
      <c r="B176" s="51">
        <f t="shared" si="101"/>
        <v>3</v>
      </c>
      <c r="C176" s="117">
        <f t="shared" si="104"/>
        <v>13</v>
      </c>
      <c r="D176" s="34">
        <f t="shared" si="102"/>
        <v>24</v>
      </c>
      <c r="E176" s="34">
        <f t="shared" ca="1" si="91"/>
        <v>28</v>
      </c>
      <c r="F176" s="34">
        <f t="shared" ca="1" si="92"/>
        <v>20.202493359861592</v>
      </c>
      <c r="G176" s="34">
        <f t="shared" ca="1" si="93"/>
        <v>10.125561117479529</v>
      </c>
      <c r="H176" s="34">
        <f t="shared" ca="1" si="94"/>
        <v>357.60484738449014</v>
      </c>
      <c r="I176" s="34">
        <f t="shared" ca="1" si="95"/>
        <v>301.14396671749154</v>
      </c>
      <c r="J176" s="34">
        <f t="shared" ca="1" si="105"/>
        <v>317.24939908786985</v>
      </c>
      <c r="K176" s="34">
        <f t="shared" ca="1" si="96"/>
        <v>1543.9246564767641</v>
      </c>
      <c r="L176" s="34">
        <f t="shared" ca="1" si="97"/>
        <v>1485.6633486851879</v>
      </c>
      <c r="M176" s="34">
        <f t="shared" ca="1" si="106"/>
        <v>1502.2823518137643</v>
      </c>
      <c r="N176" s="34">
        <f t="shared" ca="1" si="71"/>
        <v>317.24939908786985</v>
      </c>
      <c r="O176" s="34">
        <f t="shared" ca="1" si="72"/>
        <v>1502.2823518137643</v>
      </c>
      <c r="P176" s="7">
        <f t="shared" ca="1" si="73"/>
        <v>18.099787371250173</v>
      </c>
      <c r="Q176" s="7">
        <f t="shared" ca="1" si="74"/>
        <v>17.527797016653963</v>
      </c>
      <c r="R176" s="7">
        <f t="shared" ca="1" si="75"/>
        <v>17.946797016653964</v>
      </c>
      <c r="S176" s="7">
        <f t="shared" ca="1" si="76"/>
        <v>22.407018655247125</v>
      </c>
      <c r="T176" s="7">
        <f t="shared" ca="1" si="103"/>
        <v>402.13421555409883</v>
      </c>
      <c r="U176" s="7">
        <f t="shared" ca="1" si="78"/>
        <v>0.78891421524709948</v>
      </c>
      <c r="V176" s="7">
        <f t="shared" ca="1" si="98"/>
        <v>2.0166040024423042</v>
      </c>
      <c r="W176" s="7">
        <f t="shared" ca="1" si="99"/>
        <v>317.24939908786985</v>
      </c>
      <c r="X176" s="7">
        <f t="shared" ca="1" si="79"/>
        <v>0.1229316749287144</v>
      </c>
      <c r="Y176" s="7">
        <f t="shared" ca="1" si="80"/>
        <v>8.7284291269858427E-2</v>
      </c>
      <c r="Z176" s="7">
        <f t="shared" ca="1" si="81"/>
        <v>446.81579506010979</v>
      </c>
      <c r="AA176" s="17">
        <f t="shared" si="100"/>
        <v>2.9183673469387754</v>
      </c>
    </row>
    <row r="177" spans="1:27">
      <c r="A177" s="16"/>
      <c r="B177" s="51">
        <f t="shared" si="101"/>
        <v>3</v>
      </c>
      <c r="C177" s="117">
        <f t="shared" si="104"/>
        <v>14</v>
      </c>
      <c r="D177" s="34">
        <f t="shared" si="102"/>
        <v>24</v>
      </c>
      <c r="E177" s="34">
        <f t="shared" ca="1" si="91"/>
        <v>28</v>
      </c>
      <c r="F177" s="34">
        <f t="shared" ca="1" si="92"/>
        <v>20.202493359861592</v>
      </c>
      <c r="G177" s="34">
        <f t="shared" ca="1" si="93"/>
        <v>10.125561117479529</v>
      </c>
      <c r="H177" s="34">
        <f t="shared" ca="1" si="94"/>
        <v>357.60484738449014</v>
      </c>
      <c r="I177" s="34">
        <f t="shared" ca="1" si="95"/>
        <v>301.14396671749154</v>
      </c>
      <c r="J177" s="34">
        <f t="shared" ca="1" si="105"/>
        <v>322.85238214947395</v>
      </c>
      <c r="K177" s="34">
        <f t="shared" ca="1" si="96"/>
        <v>1543.9246564767641</v>
      </c>
      <c r="L177" s="34">
        <f t="shared" ca="1" si="97"/>
        <v>1485.6633486851879</v>
      </c>
      <c r="M177" s="34">
        <f t="shared" ca="1" si="106"/>
        <v>1508.0640030534678</v>
      </c>
      <c r="N177" s="34">
        <f t="shared" ca="1" si="71"/>
        <v>322.85238214947395</v>
      </c>
      <c r="O177" s="34">
        <f t="shared" ca="1" si="72"/>
        <v>1508.0640030534678</v>
      </c>
      <c r="P177" s="7">
        <f t="shared" ca="1" si="73"/>
        <v>18.1694458199213</v>
      </c>
      <c r="Q177" s="7">
        <f t="shared" ca="1" si="74"/>
        <v>17.768972446891745</v>
      </c>
      <c r="R177" s="7">
        <f t="shared" ca="1" si="75"/>
        <v>18.187972446891745</v>
      </c>
      <c r="S177" s="7">
        <f t="shared" ca="1" si="76"/>
        <v>22.53455920717532</v>
      </c>
      <c r="T177" s="7">
        <f t="shared" ca="1" si="103"/>
        <v>409.85794196295541</v>
      </c>
      <c r="U177" s="7">
        <f t="shared" ca="1" si="78"/>
        <v>0.78771776533893456</v>
      </c>
      <c r="V177" s="7">
        <f t="shared" ca="1" si="98"/>
        <v>2.044351661628804</v>
      </c>
      <c r="W177" s="7">
        <f t="shared" ca="1" si="99"/>
        <v>322.85238214947401</v>
      </c>
      <c r="X177" s="7">
        <f t="shared" ca="1" si="79"/>
        <v>0.13009041383053779</v>
      </c>
      <c r="Y177" s="7">
        <f t="shared" ca="1" si="80"/>
        <v>9.2227077067147611E-2</v>
      </c>
      <c r="Z177" s="7">
        <f t="shared" ca="1" si="81"/>
        <v>455.39771329217268</v>
      </c>
      <c r="AA177" s="17">
        <f t="shared" si="100"/>
        <v>3.1428571428571428</v>
      </c>
    </row>
    <row r="178" spans="1:27">
      <c r="A178" s="16"/>
      <c r="B178" s="51">
        <f t="shared" si="101"/>
        <v>3</v>
      </c>
      <c r="C178" s="117">
        <f t="shared" si="104"/>
        <v>15</v>
      </c>
      <c r="D178" s="34">
        <f t="shared" si="102"/>
        <v>24</v>
      </c>
      <c r="E178" s="34">
        <f t="shared" ca="1" si="91"/>
        <v>28</v>
      </c>
      <c r="F178" s="34">
        <f t="shared" ca="1" si="92"/>
        <v>20.202493359861592</v>
      </c>
      <c r="G178" s="34">
        <f t="shared" ca="1" si="93"/>
        <v>10.125561117479529</v>
      </c>
      <c r="H178" s="34">
        <f t="shared" ca="1" si="94"/>
        <v>357.60484738449014</v>
      </c>
      <c r="I178" s="34">
        <f t="shared" ca="1" si="95"/>
        <v>301.14396671749154</v>
      </c>
      <c r="J178" s="34">
        <f t="shared" ca="1" si="105"/>
        <v>328.455365211078</v>
      </c>
      <c r="K178" s="34">
        <f t="shared" ca="1" si="96"/>
        <v>1543.9246564767641</v>
      </c>
      <c r="L178" s="34">
        <f t="shared" ca="1" si="97"/>
        <v>1485.6633486851879</v>
      </c>
      <c r="M178" s="34">
        <f t="shared" ca="1" si="106"/>
        <v>1513.8456542931713</v>
      </c>
      <c r="N178" s="34">
        <f t="shared" ca="1" si="71"/>
        <v>328.455365211078</v>
      </c>
      <c r="O178" s="34">
        <f t="shared" ca="1" si="72"/>
        <v>1513.8456542931713</v>
      </c>
      <c r="P178" s="7">
        <f t="shared" ca="1" si="73"/>
        <v>18.239104268592424</v>
      </c>
      <c r="Q178" s="7">
        <f t="shared" ca="1" si="74"/>
        <v>18.008305691671232</v>
      </c>
      <c r="R178" s="7">
        <f t="shared" ca="1" si="75"/>
        <v>18.427305691671233</v>
      </c>
      <c r="S178" s="7">
        <f t="shared" ca="1" si="76"/>
        <v>22.661657634593521</v>
      </c>
      <c r="T178" s="7">
        <f t="shared" ca="1" si="103"/>
        <v>417.59329271265005</v>
      </c>
      <c r="U178" s="7">
        <f t="shared" ca="1" si="78"/>
        <v>0.78654368004203379</v>
      </c>
      <c r="V178" s="7">
        <f t="shared" ca="1" si="98"/>
        <v>2.0718873741248598</v>
      </c>
      <c r="W178" s="7">
        <f t="shared" ca="1" si="99"/>
        <v>328.455365211078</v>
      </c>
      <c r="X178" s="7">
        <f t="shared" ca="1" si="79"/>
        <v>0.13700491685097388</v>
      </c>
      <c r="Y178" s="7">
        <f t="shared" ca="1" si="80"/>
        <v>9.6984316335436055E-2</v>
      </c>
      <c r="Z178" s="7">
        <f t="shared" ca="1" si="81"/>
        <v>463.99254745850004</v>
      </c>
      <c r="AA178" s="17">
        <f t="shared" si="100"/>
        <v>3.3673469387755102</v>
      </c>
    </row>
    <row r="179" spans="1:27" ht="15.75" thickBot="1">
      <c r="A179" s="18"/>
      <c r="B179" s="52">
        <f t="shared" si="101"/>
        <v>3</v>
      </c>
      <c r="C179" s="118">
        <f t="shared" si="104"/>
        <v>16</v>
      </c>
      <c r="D179" s="40">
        <f t="shared" si="102"/>
        <v>24</v>
      </c>
      <c r="E179" s="40">
        <f t="shared" ca="1" si="91"/>
        <v>28</v>
      </c>
      <c r="F179" s="40">
        <f t="shared" ca="1" si="92"/>
        <v>20.202493359861592</v>
      </c>
      <c r="G179" s="40">
        <f t="shared" ca="1" si="93"/>
        <v>10.125561117479529</v>
      </c>
      <c r="H179" s="40">
        <f t="shared" ca="1" si="94"/>
        <v>357.60484738449014</v>
      </c>
      <c r="I179" s="40">
        <f t="shared" ca="1" si="95"/>
        <v>301.14396671749154</v>
      </c>
      <c r="J179" s="40">
        <f t="shared" ca="1" si="105"/>
        <v>334.05834827268205</v>
      </c>
      <c r="K179" s="40">
        <f t="shared" ca="1" si="96"/>
        <v>1543.9246564767641</v>
      </c>
      <c r="L179" s="40">
        <f t="shared" ca="1" si="97"/>
        <v>1485.6633486851879</v>
      </c>
      <c r="M179" s="40">
        <f t="shared" ca="1" si="106"/>
        <v>1519.6273055328747</v>
      </c>
      <c r="N179" s="40">
        <f t="shared" ca="1" si="71"/>
        <v>334.05834827268205</v>
      </c>
      <c r="O179" s="40">
        <f t="shared" ca="1" si="72"/>
        <v>1519.6273055328747</v>
      </c>
      <c r="P179" s="19">
        <f t="shared" ca="1" si="73"/>
        <v>18.308762717263551</v>
      </c>
      <c r="Q179" s="19">
        <f t="shared" ca="1" si="74"/>
        <v>18.245817777609538</v>
      </c>
      <c r="R179" s="19">
        <f t="shared" ca="1" si="75"/>
        <v>18.664817777609539</v>
      </c>
      <c r="S179" s="19">
        <f t="shared" ca="1" si="76"/>
        <v>22.788318983889841</v>
      </c>
      <c r="T179" s="19">
        <f t="shared" ca="1" si="103"/>
        <v>425.33982129234403</v>
      </c>
      <c r="U179" s="19">
        <f t="shared" ca="1" si="78"/>
        <v>0.78539165991485549</v>
      </c>
      <c r="V179" s="19">
        <f t="shared" ca="1" si="98"/>
        <v>2.0992135590799075</v>
      </c>
      <c r="W179" s="19">
        <f t="shared" ca="1" si="99"/>
        <v>334.05834827268205</v>
      </c>
      <c r="X179" s="19">
        <f t="shared" ca="1" si="79"/>
        <v>0.14368747330576814</v>
      </c>
      <c r="Y179" s="19">
        <f t="shared" ca="1" si="80"/>
        <v>0.10156584885172987</v>
      </c>
      <c r="Z179" s="19">
        <f t="shared" ca="1" si="81"/>
        <v>472.59980143593782</v>
      </c>
      <c r="AA179" s="20">
        <f t="shared" si="100"/>
        <v>3.5918367346938775</v>
      </c>
    </row>
  </sheetData>
  <mergeCells count="10">
    <mergeCell ref="B1:Q1"/>
    <mergeCell ref="A32:D32"/>
    <mergeCell ref="F31:Z31"/>
    <mergeCell ref="F32:H32"/>
    <mergeCell ref="I32:K32"/>
    <mergeCell ref="L32:N32"/>
    <mergeCell ref="O32:Q32"/>
    <mergeCell ref="R32:T32"/>
    <mergeCell ref="U32:W32"/>
    <mergeCell ref="X32:Z3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6B3DA-527B-411D-B088-39AFF01C2AB6}">
  <dimension ref="A1:F27"/>
  <sheetViews>
    <sheetView workbookViewId="0">
      <selection activeCell="B23" sqref="B23"/>
    </sheetView>
  </sheetViews>
  <sheetFormatPr defaultRowHeight="15"/>
  <cols>
    <col min="1" max="1" width="27.140625" customWidth="1"/>
    <col min="2" max="4" width="15.7109375" customWidth="1"/>
    <col min="5" max="5" width="12" customWidth="1"/>
  </cols>
  <sheetData>
    <row r="1" spans="1:6" ht="75" customHeight="1">
      <c r="A1" s="78" t="s">
        <v>105</v>
      </c>
      <c r="B1" s="122" t="s">
        <v>111</v>
      </c>
      <c r="C1" s="122"/>
      <c r="D1" s="122"/>
      <c r="E1" s="122"/>
      <c r="F1" s="82"/>
    </row>
    <row r="2" spans="1:6" ht="15" customHeight="1">
      <c r="A2" s="78"/>
      <c r="B2" s="83"/>
      <c r="C2" s="83"/>
      <c r="D2" s="83"/>
      <c r="E2" s="83"/>
      <c r="F2" s="82"/>
    </row>
    <row r="3" spans="1:6" ht="15" customHeight="1">
      <c r="A3" s="4"/>
      <c r="D3" s="5"/>
    </row>
    <row r="4" spans="1:6" ht="15" customHeight="1">
      <c r="A4" s="2" t="s">
        <v>106</v>
      </c>
      <c r="B4" s="3">
        <v>1000</v>
      </c>
      <c r="C4" t="s">
        <v>10</v>
      </c>
      <c r="D4" t="s">
        <v>109</v>
      </c>
    </row>
    <row r="5" spans="1:6" ht="15" customHeight="1">
      <c r="A5" s="2" t="s">
        <v>107</v>
      </c>
      <c r="B5" s="3">
        <v>100</v>
      </c>
      <c r="C5" t="s">
        <v>0</v>
      </c>
      <c r="D5" t="s">
        <v>108</v>
      </c>
    </row>
    <row r="6" spans="1:6" ht="15" customHeight="1">
      <c r="A6" s="2"/>
    </row>
    <row r="7" spans="1:6" ht="15" customHeight="1">
      <c r="A7" s="2"/>
    </row>
    <row r="8" spans="1:6" ht="30" customHeight="1">
      <c r="A8" s="32" t="str">
        <f>Inputs!B25</f>
        <v>Motor name</v>
      </c>
      <c r="B8" s="33" t="str">
        <f>Inputs!C25</f>
        <v>Maxon 634043</v>
      </c>
      <c r="C8" s="33" t="str">
        <f>Inputs!D25</f>
        <v>Maxon 488607</v>
      </c>
      <c r="D8" s="33" t="str">
        <f>Inputs!E25</f>
        <v>Cobra CM-4510-40</v>
      </c>
      <c r="F8" t="s">
        <v>112</v>
      </c>
    </row>
    <row r="9" spans="1:6" ht="15" customHeight="1">
      <c r="A9" s="30" t="str">
        <f>Inputs!B26</f>
        <v>Speed constant Kv</v>
      </c>
      <c r="B9" s="7">
        <f>Inputs!C26</f>
        <v>83</v>
      </c>
      <c r="C9" s="7">
        <f>Inputs!D26</f>
        <v>105</v>
      </c>
      <c r="D9" s="7">
        <f>Inputs!E26</f>
        <v>310</v>
      </c>
      <c r="E9" t="str">
        <f>Inputs!F26</f>
        <v>RPM/volt</v>
      </c>
    </row>
    <row r="10" spans="1:6" ht="15" customHeight="1">
      <c r="A10" s="30" t="str">
        <f>Inputs!B27</f>
        <v>No-load current I0</v>
      </c>
      <c r="B10" s="7">
        <f>Inputs!C27</f>
        <v>0.41899999999999998</v>
      </c>
      <c r="C10" s="7">
        <f>Inputs!D27</f>
        <v>0.15</v>
      </c>
      <c r="D10" s="7">
        <f>Inputs!E27</f>
        <v>0.31</v>
      </c>
      <c r="E10" t="str">
        <f>Inputs!F27</f>
        <v>amps</v>
      </c>
    </row>
    <row r="11" spans="1:6" ht="15" customHeight="1">
      <c r="A11" s="30" t="str">
        <f>Inputs!B28</f>
        <v>Winding Resistance Rm</v>
      </c>
      <c r="B11" s="7">
        <f>Inputs!C28</f>
        <v>0.24</v>
      </c>
      <c r="C11" s="7">
        <f>Inputs!D28</f>
        <v>1.01</v>
      </c>
      <c r="D11" s="7">
        <f>Inputs!E28</f>
        <v>0.17</v>
      </c>
      <c r="E11" t="str">
        <f>Inputs!F28</f>
        <v>ohms</v>
      </c>
    </row>
    <row r="12" spans="1:6" ht="15" customHeight="1">
      <c r="A12" s="30" t="str">
        <f>Inputs!B29</f>
        <v>gear ratio</v>
      </c>
      <c r="B12" s="7">
        <v>1</v>
      </c>
      <c r="C12" s="7">
        <f>Inputs!D29</f>
        <v>1</v>
      </c>
      <c r="D12" s="7">
        <f>Inputs!E29</f>
        <v>1</v>
      </c>
    </row>
    <row r="13" spans="1:6" ht="15" customHeight="1">
      <c r="A13" s="30" t="str">
        <f>Inputs!B30</f>
        <v>gearbox efficiency</v>
      </c>
      <c r="B13" s="7">
        <f>Inputs!C30</f>
        <v>1</v>
      </c>
      <c r="C13" s="7">
        <f>Inputs!D30</f>
        <v>1</v>
      </c>
      <c r="D13" s="7">
        <f>Inputs!E30</f>
        <v>1</v>
      </c>
    </row>
    <row r="14" spans="1:6" ht="15" customHeight="1">
      <c r="A14" s="30" t="str">
        <f>Inputs!B31</f>
        <v>ESC efficiency</v>
      </c>
      <c r="B14" s="7">
        <f>Inputs!C31</f>
        <v>0.9</v>
      </c>
      <c r="C14" s="7">
        <f>Inputs!D31</f>
        <v>0.9</v>
      </c>
      <c r="D14" s="7">
        <f>Inputs!E31</f>
        <v>0.9</v>
      </c>
    </row>
    <row r="15" spans="1:6" ht="15" customHeight="1">
      <c r="A15" s="30"/>
      <c r="B15" s="7"/>
      <c r="C15" s="7"/>
      <c r="D15" s="7"/>
    </row>
    <row r="16" spans="1:6" ht="15" customHeight="1">
      <c r="A16" s="30" t="s">
        <v>79</v>
      </c>
      <c r="B16" s="58">
        <f>60/(2*PI()*B9)</f>
        <v>0.11505176609052674</v>
      </c>
      <c r="C16" s="58">
        <f t="shared" ref="C16:D16" si="0">60/(2*PI()*C9)</f>
        <v>9.0945681766797334E-2</v>
      </c>
      <c r="D16" s="58">
        <f t="shared" si="0"/>
        <v>3.0804182533915227E-2</v>
      </c>
      <c r="E16" t="s">
        <v>80</v>
      </c>
      <c r="F16" t="s">
        <v>110</v>
      </c>
    </row>
    <row r="17" spans="1:5" ht="15" customHeight="1">
      <c r="A17" s="30" t="s">
        <v>69</v>
      </c>
      <c r="B17" s="61">
        <f>$B$5/B13</f>
        <v>100</v>
      </c>
      <c r="C17" s="61">
        <f t="shared" ref="C17:D17" si="1">$B$5/C13</f>
        <v>100</v>
      </c>
      <c r="D17" s="61">
        <f t="shared" si="1"/>
        <v>100</v>
      </c>
      <c r="E17" t="s">
        <v>0</v>
      </c>
    </row>
    <row r="18" spans="1:5" ht="15" customHeight="1">
      <c r="A18" s="30" t="s">
        <v>36</v>
      </c>
      <c r="B18" s="61">
        <f>$B$4/B12</f>
        <v>1000</v>
      </c>
      <c r="C18" s="61">
        <f t="shared" ref="C18:D18" si="2">$B$4/C12</f>
        <v>1000</v>
      </c>
      <c r="D18" s="61">
        <f t="shared" si="2"/>
        <v>1000</v>
      </c>
      <c r="E18" t="s">
        <v>10</v>
      </c>
    </row>
    <row r="19" spans="1:5" ht="15" customHeight="1">
      <c r="A19" s="30" t="s">
        <v>74</v>
      </c>
      <c r="B19" s="60">
        <f>B17/(B18/60*2*PI())</f>
        <v>0.95492965855137202</v>
      </c>
      <c r="C19" s="60">
        <f t="shared" ref="C19:D19" si="3">C17/(C18/60*2*PI())</f>
        <v>0.95492965855137202</v>
      </c>
      <c r="D19" s="60">
        <f t="shared" si="3"/>
        <v>0.95492965855137202</v>
      </c>
      <c r="E19" t="s">
        <v>76</v>
      </c>
    </row>
    <row r="20" spans="1:5" ht="15" customHeight="1">
      <c r="A20" s="30" t="s">
        <v>84</v>
      </c>
      <c r="B20" s="60">
        <f>B18/B9</f>
        <v>12.048192771084338</v>
      </c>
      <c r="C20" s="60">
        <f t="shared" ref="C20:D20" si="4">C18/C9</f>
        <v>9.5238095238095237</v>
      </c>
      <c r="D20" s="60">
        <f t="shared" si="4"/>
        <v>3.225806451612903</v>
      </c>
      <c r="E20" t="s">
        <v>77</v>
      </c>
    </row>
    <row r="21" spans="1:5" ht="15" customHeight="1">
      <c r="A21" s="30" t="s">
        <v>33</v>
      </c>
      <c r="B21" s="60">
        <f>B17/B20</f>
        <v>8.2999999999999989</v>
      </c>
      <c r="C21" s="60">
        <f t="shared" ref="C21:D21" si="5">C17/C20</f>
        <v>10.5</v>
      </c>
      <c r="D21" s="60">
        <f t="shared" si="5"/>
        <v>31.000000000000004</v>
      </c>
      <c r="E21" t="s">
        <v>78</v>
      </c>
    </row>
    <row r="22" spans="1:5" ht="15" customHeight="1">
      <c r="A22" s="30" t="s">
        <v>64</v>
      </c>
      <c r="B22" s="60">
        <f>B21+B10</f>
        <v>8.7189999999999994</v>
      </c>
      <c r="C22" s="60">
        <f t="shared" ref="C22:D22" si="6">C21+C10</f>
        <v>10.65</v>
      </c>
      <c r="D22" s="60">
        <f t="shared" si="6"/>
        <v>31.310000000000002</v>
      </c>
      <c r="E22" t="s">
        <v>78</v>
      </c>
    </row>
    <row r="23" spans="1:5" ht="15" customHeight="1">
      <c r="A23" s="30" t="s">
        <v>63</v>
      </c>
      <c r="B23" s="60">
        <f>B20+B11*B22</f>
        <v>14.140752771084337</v>
      </c>
      <c r="C23" s="60">
        <f t="shared" ref="C23:D23" si="7">C20+C11*C22</f>
        <v>20.280309523809525</v>
      </c>
      <c r="D23" s="60">
        <f t="shared" si="7"/>
        <v>8.548506451612905</v>
      </c>
      <c r="E23" t="s">
        <v>77</v>
      </c>
    </row>
    <row r="24" spans="1:5" ht="15" customHeight="1">
      <c r="A24" s="30" t="s">
        <v>65</v>
      </c>
      <c r="B24" s="61">
        <f>B22*B23</f>
        <v>123.29322341108433</v>
      </c>
      <c r="C24" s="61">
        <f t="shared" ref="C24:D24" si="8">C22*C23</f>
        <v>215.98529642857144</v>
      </c>
      <c r="D24" s="61">
        <f t="shared" si="8"/>
        <v>267.65373700000009</v>
      </c>
      <c r="E24" t="s">
        <v>0</v>
      </c>
    </row>
    <row r="25" spans="1:5" ht="15" customHeight="1">
      <c r="A25" s="30" t="s">
        <v>66</v>
      </c>
      <c r="B25" s="61">
        <f>B24/B14</f>
        <v>136.99247045676037</v>
      </c>
      <c r="C25" s="61">
        <f t="shared" ref="C25:D25" si="9">C24/C14</f>
        <v>239.9836626984127</v>
      </c>
      <c r="D25" s="61">
        <f t="shared" si="9"/>
        <v>297.39304111111119</v>
      </c>
      <c r="E25" t="s">
        <v>0</v>
      </c>
    </row>
    <row r="26" spans="1:5" ht="15" customHeight="1">
      <c r="A26" s="30" t="s">
        <v>28</v>
      </c>
      <c r="B26" s="59">
        <f>B17/B24</f>
        <v>0.81107458490707107</v>
      </c>
      <c r="C26" s="59">
        <f t="shared" ref="C26:D26" si="10">C17/C24</f>
        <v>0.4629944799648481</v>
      </c>
      <c r="D26" s="59">
        <f t="shared" si="10"/>
        <v>0.37361705134720374</v>
      </c>
    </row>
    <row r="27" spans="1:5" ht="15" customHeight="1">
      <c r="A27" s="30" t="s">
        <v>73</v>
      </c>
      <c r="B27" s="59">
        <f>B26*B14</f>
        <v>0.72996712641636397</v>
      </c>
      <c r="C27" s="59">
        <f t="shared" ref="C27:D27" si="11">C26*C14</f>
        <v>0.41669503196836333</v>
      </c>
      <c r="D27" s="59">
        <f t="shared" si="11"/>
        <v>0.33625534621248337</v>
      </c>
    </row>
  </sheetData>
  <mergeCells count="1">
    <mergeCell ref="B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Inputs</vt:lpstr>
      <vt:lpstr>Propeller Data</vt:lpstr>
      <vt:lpstr>Propeller Sizing</vt:lpstr>
      <vt:lpstr>Power Draw vs. Thrust</vt:lpstr>
      <vt:lpstr>Basic Motor Performance Tool</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Damon McMillan</dc:creator>
  <cp:lastModifiedBy>damon</cp:lastModifiedBy>
  <dcterms:created xsi:type="dcterms:W3CDTF">2014-08-27T20:07:33Z</dcterms:created>
  <dcterms:modified xsi:type="dcterms:W3CDTF">2019-11-25T20:49:00Z</dcterms:modified>
</cp:coreProperties>
</file>